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 Purpose Transistors" sheetId="1" r:id="rId1"/>
  </sheets>
  <definedNames/>
  <calcPr fullCalcOnLoad="1"/>
</workbook>
</file>

<file path=xl/sharedStrings.xml><?xml version="1.0" encoding="utf-8"?>
<sst xmlns="http://schemas.openxmlformats.org/spreadsheetml/2006/main" count="10562" uniqueCount="553">
  <si>
    <t>&lt;span id="price_TIP42CG"&gt;&lt;a href="javascript:getOnlinePrice('TIP42CG');"&gt;Price&lt;/a&gt;&lt;/span&gt;</t>
  </si>
  <si>
    <t>Bipolar Power PNP, 6 A, 40 V</t>
  </si>
  <si>
    <t>Bipolar Power NPN, 1 A, 300 V</t>
  </si>
  <si>
    <t>&lt;span id="price_TIP50G"&gt;&lt;a href="javascript:getOnlinePrice('TIP50G');"&gt;Price&lt;/a&gt;&lt;/span&gt;</t>
  </si>
  <si>
    <t>Complementary Dual General Purpose Transistors</t>
  </si>
  <si>
    <t>Product</t>
  </si>
  <si>
    <t>Datasheet</t>
  </si>
  <si>
    <t>Pb-free</t>
  </si>
  <si>
    <t>Status</t>
  </si>
  <si>
    <t>Description</t>
  </si>
  <si>
    <t>IC Max (A)</t>
  </si>
  <si>
    <t>V(BR)CEO Min (V)</t>
  </si>
  <si>
    <t>hFE Min</t>
  </si>
  <si>
    <t>hFE Max</t>
  </si>
  <si>
    <t>fT Min (MHz)</t>
  </si>
  <si>
    <t>PTM Max (W)</t>
  </si>
  <si>
    <t>Channel Polarity</t>
  </si>
  <si>
    <t>Package</t>
  </si>
  <si>
    <t>Price</t>
  </si>
  <si>
    <t>Y</t>
  </si>
  <si>
    <t>ActiveNEW</t>
  </si>
  <si>
    <t>PNP 100V Low VCE(sat)</t>
  </si>
  <si>
    <t>3</t>
  </si>
  <si>
    <t>100</t>
  </si>
  <si>
    <t>120</t>
  </si>
  <si>
    <t>360</t>
  </si>
  <si>
    <t>2</t>
  </si>
  <si>
    <t/>
  </si>
  <si>
    <t>SOT-223 (TO-261) 4 LEAD</t>
  </si>
  <si>
    <t>$0.16</t>
  </si>
  <si>
    <t>20 V NPN LOW VCE(SAT)</t>
  </si>
  <si>
    <t>1</t>
  </si>
  <si>
    <t>20</t>
  </si>
  <si>
    <t>200</t>
  </si>
  <si>
    <t>500</t>
  </si>
  <si>
    <t>350</t>
  </si>
  <si>
    <t>0.255</t>
  </si>
  <si>
    <t>SC-89, 3 LEAD</t>
  </si>
  <si>
    <t>$0.15</t>
  </si>
  <si>
    <t>40V 6.0A Dual PNP Low Vce(sat) Transistors SOIC8</t>
  </si>
  <si>
    <t>6</t>
  </si>
  <si>
    <t>40</t>
  </si>
  <si>
    <t>220</t>
  </si>
  <si>
    <t>SOIC-8 Narrow Body</t>
  </si>
  <si>
    <t>$0.27</t>
  </si>
  <si>
    <t>40V 6.0A Dual NPN Low Vce(sat) Transistors SOIC8</t>
  </si>
  <si>
    <t>NPN Dual General Purpose Transistor</t>
  </si>
  <si>
    <t>0.2</t>
  </si>
  <si>
    <t>300</t>
  </si>
  <si>
    <t>0.42</t>
  </si>
  <si>
    <t>NPN</t>
  </si>
  <si>
    <t>SOT-963 1x1, 0.35P</t>
  </si>
  <si>
    <t>$0.0933</t>
  </si>
  <si>
    <t>NPN General Purpose Transistor</t>
  </si>
  <si>
    <t>0.36</t>
  </si>
  <si>
    <t>SOT-1123, 1.0x0.6x0.37, 0.35P</t>
  </si>
  <si>
    <t>$0.08</t>
  </si>
  <si>
    <t>PNP Dual General Purpose Transistor</t>
  </si>
  <si>
    <t>250</t>
  </si>
  <si>
    <t>PNP</t>
  </si>
  <si>
    <t>PNP General Purpose Transistor</t>
  </si>
  <si>
    <t>Dual Complementary General Purpose Transistors</t>
  </si>
  <si>
    <t>NPN, PNP</t>
  </si>
  <si>
    <t>0.1</t>
  </si>
  <si>
    <t>45</t>
  </si>
  <si>
    <t>450</t>
  </si>
  <si>
    <t>Dual Complementary 45V, 100ma</t>
  </si>
  <si>
    <t>475</t>
  </si>
  <si>
    <t>420</t>
  </si>
  <si>
    <t>N</t>
  </si>
  <si>
    <t>Active</t>
  </si>
  <si>
    <t>Bipolar Power NPN, 15 A, 60 V</t>
  </si>
  <si>
    <t>15</t>
  </si>
  <si>
    <t>60</t>
  </si>
  <si>
    <t>70</t>
  </si>
  <si>
    <t>2.5</t>
  </si>
  <si>
    <t>115</t>
  </si>
  <si>
    <t>TO-204 (TO-3)</t>
  </si>
  <si>
    <t>$0.9333</t>
  </si>
  <si>
    <t>10</t>
  </si>
  <si>
    <t>$1.1333</t>
  </si>
  <si>
    <t>Bipolar Power NPN, 10 A, 140 V</t>
  </si>
  <si>
    <t>140</t>
  </si>
  <si>
    <t>0.08</t>
  </si>
  <si>
    <t>117</t>
  </si>
  <si>
    <t>Bipolar Power NPN, 30 A, 40 V</t>
  </si>
  <si>
    <t>30</t>
  </si>
  <si>
    <t>0</t>
  </si>
  <si>
    <t>150</t>
  </si>
  <si>
    <t>$1.7333</t>
  </si>
  <si>
    <t>Bipolar Power NPN, 20 A, 60 V</t>
  </si>
  <si>
    <t>$1.92</t>
  </si>
  <si>
    <t>Bipolar Power NPN, 16 A, 140 V</t>
  </si>
  <si>
    <t>16</t>
  </si>
  <si>
    <t>4</t>
  </si>
  <si>
    <t>General Purpose Transistor NPN</t>
  </si>
  <si>
    <t>0.625</t>
  </si>
  <si>
    <t>TO-92 (TO-226) 5.33mm Body Height</t>
  </si>
  <si>
    <t>$0.032</t>
  </si>
  <si>
    <t>General Purpose Transistor PNP</t>
  </si>
  <si>
    <t>&lt;a href="/PowerSolutions/locateSalesSupport.do"&gt;Contact Sales Office&lt;/a&gt;</t>
  </si>
  <si>
    <t>&lt;span id="price_2N3906RLRPG"&gt;&lt;a href="javascript:getOnlinePrice('2N3906RLRPG');"&gt;Price&lt;/a&gt;&lt;/span&gt;</t>
  </si>
  <si>
    <t>25</t>
  </si>
  <si>
    <t>$0.0928</t>
  </si>
  <si>
    <t>0.6</t>
  </si>
  <si>
    <t>Bipolar Power PNP, 3 A, 40 V</t>
  </si>
  <si>
    <t>TO-225</t>
  </si>
  <si>
    <t>&lt;span id="price_2N4918G"&gt;&lt;a href="javascript:getOnlinePrice('2N4918G');"&gt;Price&lt;/a&gt;&lt;/span&gt;</t>
  </si>
  <si>
    <t>Bipolar Power PNP, 3 A, 60 V</t>
  </si>
  <si>
    <t>$0.2533</t>
  </si>
  <si>
    <t>Bipolar Power PNP, 3 A, 80 V</t>
  </si>
  <si>
    <t>80</t>
  </si>
  <si>
    <t>Bipolar Power NPN, 3 A, 40 V</t>
  </si>
  <si>
    <t>$0.3333</t>
  </si>
  <si>
    <t>Bipolar Power NPN, 3 A, 60 V</t>
  </si>
  <si>
    <t>Bipolar Power NPN, 3 A, 80 V</t>
  </si>
  <si>
    <t>Bipolar Power NPN, 20 A, 90 V</t>
  </si>
  <si>
    <t>90</t>
  </si>
  <si>
    <t>$4.7999</t>
  </si>
  <si>
    <t>0.05</t>
  </si>
  <si>
    <t>50</t>
  </si>
  <si>
    <t>800</t>
  </si>
  <si>
    <t>&lt;span id="price_2N5087RLRAG"&gt;&lt;a href="javascript:getOnlinePrice('2N5087RLRAG');"&gt;Price&lt;/a&gt;&lt;/span&gt;</t>
  </si>
  <si>
    <t>900</t>
  </si>
  <si>
    <t>$0.0773</t>
  </si>
  <si>
    <t>400</t>
  </si>
  <si>
    <t>1200</t>
  </si>
  <si>
    <t>Bipolar Power NPN, 4 A, 40 V</t>
  </si>
  <si>
    <t>$0.3733</t>
  </si>
  <si>
    <t>Bipolar Power NPN, 4 A, 60 V</t>
  </si>
  <si>
    <t>Bipolar Power NPN, 4 A, 80 V</t>
  </si>
  <si>
    <t>Bipolar Power PNP, 4 A, 60 V</t>
  </si>
  <si>
    <t>Bipolar Power PNP, 4 A, 80 V</t>
  </si>
  <si>
    <t>Bipolar Power NPN, 30 A, 60 V</t>
  </si>
  <si>
    <t>High Voltage Transistor PNP</t>
  </si>
  <si>
    <t>0.5</t>
  </si>
  <si>
    <t>240</t>
  </si>
  <si>
    <t>High Voltage Transistor NPN</t>
  </si>
  <si>
    <t>160</t>
  </si>
  <si>
    <t>Bipolar Power NPN, 1 A, 250 V</t>
  </si>
  <si>
    <t>$0.2267</t>
  </si>
  <si>
    <t>Bipolar Power NPN, 1 A, 350 V</t>
  </si>
  <si>
    <t>Bipolar Power PNP, 50 A, 80 V</t>
  </si>
  <si>
    <t>$4.5332</t>
  </si>
  <si>
    <t>Bipolar Power NPN, 50 A, 80 V</t>
  </si>
  <si>
    <t>$7.7331</t>
  </si>
  <si>
    <t>Bipolar Power PNP, 25 A, 60 V</t>
  </si>
  <si>
    <t>$1.8</t>
  </si>
  <si>
    <t>Bipolar Power PNP, 25 A, 80 V</t>
  </si>
  <si>
    <t>Bipolar Power NPN, 25 A, 60 V</t>
  </si>
  <si>
    <t>Bipolar Power NPN, 25 A, 80 V</t>
  </si>
  <si>
    <t>Bipolar Power PNP, 7 A, 70 V</t>
  </si>
  <si>
    <t>7</t>
  </si>
  <si>
    <t>TO-220 3 LEAD STANDARD</t>
  </si>
  <si>
    <t>$0.4667</t>
  </si>
  <si>
    <t>Bipolar Power PNP, 7 A, 50 V</t>
  </si>
  <si>
    <t>Bipolar Power PNP, 7 A, 30 V</t>
  </si>
  <si>
    <t>Bipolar Power NPN, 7 A, 30 V</t>
  </si>
  <si>
    <t>$0.4</t>
  </si>
  <si>
    <t>Bipolar Power NPN, 7 A, 70 V</t>
  </si>
  <si>
    <t>Bipolar Power NPN, 25 A, 100 V</t>
  </si>
  <si>
    <t>$7.3332</t>
  </si>
  <si>
    <t>Bipolar Power NPN, 25 A, 150 V</t>
  </si>
  <si>
    <t>5</t>
  </si>
  <si>
    <t>75</t>
  </si>
  <si>
    <t>$0.4533</t>
  </si>
  <si>
    <t>Bipolar Power NPN, 15 A, 80 V</t>
  </si>
  <si>
    <t>&lt;span id="price_2N6488G"&gt;&lt;a href="javascript:getOnlinePrice('2N6488G');"&gt;Price&lt;/a&gt;&lt;/span&gt;</t>
  </si>
  <si>
    <t>Bipolar Power PNP, 15 A, 60 V</t>
  </si>
  <si>
    <t>$0.4933</t>
  </si>
  <si>
    <t>Bipolar Power PNP, 15 A, 80 V</t>
  </si>
  <si>
    <t>&lt;span id="price_2N6491G"&gt;&lt;a href="javascript:getOnlinePrice('2N6491G');"&gt;Price&lt;/a&gt;&lt;/span&gt;</t>
  </si>
  <si>
    <t>Bipolar Power NPN, 5 A, 250 V</t>
  </si>
  <si>
    <t>$0.34</t>
  </si>
  <si>
    <t>&lt;span id="price_2N6520RLRAG"&gt;&lt;a href="javascript:getOnlinePrice('2N6520RLRAG');"&gt;Price&lt;/a&gt;&lt;/span&gt;</t>
  </si>
  <si>
    <t>1 W High Current PNP Transistor</t>
  </si>
  <si>
    <t>1.5</t>
  </si>
  <si>
    <t>TO-92 (TO-226) 7.87mm Body Height 1Watt</t>
  </si>
  <si>
    <t>$0.1467</t>
  </si>
  <si>
    <t>560</t>
  </si>
  <si>
    <t>0.15</t>
  </si>
  <si>
    <t>SC-75  (SC-90, SOT-416) 3 LEAD</t>
  </si>
  <si>
    <t>&lt;span id="price_2SA1774T1G"&gt;&lt;a href="javascript:getOnlinePrice('2SA1774T1G');"&gt;Price&lt;/a&gt;&lt;/span&gt;</t>
  </si>
  <si>
    <t>Small Signal General Purpose PNP Transistor</t>
  </si>
  <si>
    <t>0.265</t>
  </si>
  <si>
    <t>SOT-723 3 LEAD</t>
  </si>
  <si>
    <t>&lt;span id="price_2SA2029M3T5G"&gt;&lt;a href="javascript:getOnlinePrice('2SA2029M3T5G');"&gt;Price&lt;/a&gt;&lt;/span&gt;</t>
  </si>
  <si>
    <t>180</t>
  </si>
  <si>
    <t>0.125</t>
  </si>
  <si>
    <t>&lt;span id="price_2SC4617T1G"&gt;&lt;a href="javascript:getOnlinePrice('2SC4617T1G');"&gt;Price&lt;/a&gt;&lt;/span&gt;</t>
  </si>
  <si>
    <t>Small Signal General Purpose NPN Transistor</t>
  </si>
  <si>
    <t>0.26</t>
  </si>
  <si>
    <t>&lt;span id="price_2SC5658M3T5G"&gt;&lt;a href="javascript:getOnlinePrice('2SC5658M3T5G');"&gt;Price&lt;/a&gt;&lt;/span&gt;</t>
  </si>
  <si>
    <t>460</t>
  </si>
  <si>
    <t>0.35</t>
  </si>
  <si>
    <t>0.8</t>
  </si>
  <si>
    <t>630</t>
  </si>
  <si>
    <t>High Current Transistor NPN</t>
  </si>
  <si>
    <t>85</t>
  </si>
  <si>
    <t>375</t>
  </si>
  <si>
    <t>65</t>
  </si>
  <si>
    <t>$0.12</t>
  </si>
  <si>
    <t>High Current Transistor PNP</t>
  </si>
  <si>
    <t>380</t>
  </si>
  <si>
    <t>&lt;span id="price_BC639-16ZL1G"&gt;&lt;a href="javascript:getOnlinePrice('BC639-16ZL1G');"&gt;Price&lt;/a&gt;&lt;/span&gt;</t>
  </si>
  <si>
    <t>&lt;span id="price_BC639ZL1G"&gt;&lt;a href="javascript:getOnlinePrice('BC639ZL1G');"&gt;Price&lt;/a&gt;&lt;/span&gt;</t>
  </si>
  <si>
    <t>&lt;span id="price_BC640-016G"&gt;&lt;a href="javascript:getOnlinePrice('BC640-016G');"&gt;Price&lt;/a&gt;&lt;/span&gt;</t>
  </si>
  <si>
    <t>0.225</t>
  </si>
  <si>
    <t>SOT-23 (TO-236) 3 LEAD</t>
  </si>
  <si>
    <t>$0.0467</t>
  </si>
  <si>
    <t>&lt;span id="price_BC807-25LT1G"&gt;&lt;a href="javascript:getOnlinePrice('BC807-25LT1G');"&gt;Price&lt;/a&gt;&lt;/span&gt;</t>
  </si>
  <si>
    <t>600</t>
  </si>
  <si>
    <t>$0.0693</t>
  </si>
  <si>
    <t>&lt;span id="price_BC817-25LT1G"&gt;&lt;a href="javascript:getOnlinePrice('BC817-25LT1G');"&gt;Price&lt;/a&gt;&lt;/span&gt;</t>
  </si>
  <si>
    <t>0.25</t>
  </si>
  <si>
    <t>&lt;span id="price_BC817-40LT1G"&gt;&lt;a href="javascript:getOnlinePrice('BC817-40LT1G');"&gt;Price&lt;/a&gt;&lt;/span&gt;</t>
  </si>
  <si>
    <t>110</t>
  </si>
  <si>
    <t>$0.0387</t>
  </si>
  <si>
    <t>General Purpose Transistor Dual NPN</t>
  </si>
  <si>
    <t>0.38</t>
  </si>
  <si>
    <t>SC_x0012_88/SC70_x0012_6/SOT_x0012_363 6 LEAD</t>
  </si>
  <si>
    <t>&lt;span id="price_BC846BLT1G"&gt;&lt;a href="javascript:getOnlinePrice('BC846BLT1G');"&gt;Price&lt;/a&gt;&lt;/span&gt;</t>
  </si>
  <si>
    <t>$0.04</t>
  </si>
  <si>
    <t>General Purpose Transistor Dual Complementary</t>
  </si>
  <si>
    <t>Complementary</t>
  </si>
  <si>
    <t>&lt;span id="price_BC846BPDW1T1G"&gt;&lt;a href="javascript:getOnlinePrice('BC846BPDW1T1G');"&gt;Price&lt;/a&gt;&lt;/span&gt;</t>
  </si>
  <si>
    <t>SC-70  (SOT-323) 3 LEAD</t>
  </si>
  <si>
    <t>&lt;span id="price_BC847ALT1G"&gt;&lt;a href="javascript:getOnlinePrice('BC847ALT1G');"&gt;Price&lt;/a&gt;&lt;/span&gt;</t>
  </si>
  <si>
    <t>&lt;span id="price_BC847BDW1T3G"&gt;&lt;a href="javascript:getOnlinePrice('BC847BDW1T3G');"&gt;Price&lt;/a&gt;&lt;/span&gt;</t>
  </si>
  <si>
    <t>&lt;span id="price_BC847BLT1G"&gt;&lt;a href="javascript:getOnlinePrice('BC847BLT1G');"&gt;Price&lt;/a&gt;&lt;/span&gt;</t>
  </si>
  <si>
    <t>&lt;span id="price_BC847BPDW1T1G"&gt;&lt;a href="javascript:getOnlinePrice('BC847BPDW1T1G');"&gt;Price&lt;/a&gt;&lt;/span&gt;</t>
  </si>
  <si>
    <t>SOT_x0012_563, 6 LEAD</t>
  </si>
  <si>
    <t>&lt;span id="price_BC847BWT1G"&gt;&lt;a href="javascript:getOnlinePrice('BC847BWT1G');"&gt;Price&lt;/a&gt;&lt;/span&gt;</t>
  </si>
  <si>
    <t>&lt;span id="price_BC847CDW1T1G"&gt;&lt;a href="javascript:getOnlinePrice('BC847CDW1T1G');"&gt;Price&lt;/a&gt;&lt;/span&gt;</t>
  </si>
  <si>
    <t>0.357</t>
  </si>
  <si>
    <t>&lt;span id="price_BC847CDXV6T1G"&gt;&lt;a href="javascript:getOnlinePrice('BC847CDXV6T1G');"&gt;Price&lt;/a&gt;&lt;/span&gt;</t>
  </si>
  <si>
    <t>&lt;span id="price_BC847CTT1G"&gt;&lt;a href="javascript:getOnlinePrice('BC847CTT1G');"&gt;Price&lt;/a&gt;&lt;/span&gt;</t>
  </si>
  <si>
    <t>$0.0427</t>
  </si>
  <si>
    <t>$0.0293</t>
  </si>
  <si>
    <t>125</t>
  </si>
  <si>
    <t>&lt;span id="price_BC856ALT1G"&gt;&lt;a href="javascript:getOnlinePrice('BC856ALT1G');"&gt;Price&lt;/a&gt;&lt;/span&gt;</t>
  </si>
  <si>
    <t>General Purpose Transistor Dual PNP</t>
  </si>
  <si>
    <t>&lt;span id="price_BC856BLT1G"&gt;&lt;a href="javascript:getOnlinePrice('BC856BLT1G');"&gt;Price&lt;/a&gt;&lt;/span&gt;</t>
  </si>
  <si>
    <t>225</t>
  </si>
  <si>
    <t>General Purpose Dual PNP Transistor</t>
  </si>
  <si>
    <t>63</t>
  </si>
  <si>
    <t>&lt;span id="price_BCP53-16T1G"&gt;&lt;a href="javascript:getOnlinePrice('BCP53-16T1G');"&gt;Price&lt;/a&gt;&lt;/span&gt;</t>
  </si>
  <si>
    <t>PNP Silicon Epitaxial Transistors</t>
  </si>
  <si>
    <t>&lt;span id="price_BCP53T1G"&gt;&lt;a href="javascript:getOnlinePrice('BCP53T1G');"&gt;Price&lt;/a&gt;&lt;/span&gt;</t>
  </si>
  <si>
    <t>&lt;span id="price_BCP56-10T1G"&gt;&lt;a href="javascript:getOnlinePrice('BCP56-10T1G');"&gt;Price&lt;/a&gt;&lt;/span&gt;</t>
  </si>
  <si>
    <t>&lt;span id="price_BCP56-16T1G"&gt;&lt;a href="javascript:getOnlinePrice('BCP56-16T1G');"&gt;Price&lt;/a&gt;&lt;/span&gt;</t>
  </si>
  <si>
    <t>&lt;span id="price_BCP56T1G"&gt;&lt;a href="javascript:getOnlinePrice('BCP56T1G');"&gt;Price&lt;/a&gt;&lt;/span&gt;</t>
  </si>
  <si>
    <t>$0.2373</t>
  </si>
  <si>
    <t>&lt;span id="price_BCP69T1G"&gt;&lt;a href="javascript:getOnlinePrice('BCP69T1G');"&gt;Price&lt;/a&gt;&lt;/span&gt;</t>
  </si>
  <si>
    <t>32</t>
  </si>
  <si>
    <t>215</t>
  </si>
  <si>
    <t>$0.0533</t>
  </si>
  <si>
    <t>&lt;span id="price_BCW65ALT1G"&gt;&lt;a href="javascript:getOnlinePrice('BCW65ALT1G');"&gt;Price&lt;/a&gt;&lt;/span&gt;</t>
  </si>
  <si>
    <t>&lt;span id="price_BCW65CLT1G"&gt;&lt;a href="javascript:getOnlinePrice('BCW65CLT1G');"&gt;Price&lt;/a&gt;&lt;/span&gt;</t>
  </si>
  <si>
    <t>$0.0507</t>
  </si>
  <si>
    <t>&lt;span id="price_BCW70LT1G"&gt;&lt;a href="javascript:getOnlinePrice('BCW70LT1G');"&gt;Price&lt;/a&gt;&lt;/span&gt;</t>
  </si>
  <si>
    <t>&lt;span id="price_BCX71JLT1G"&gt;&lt;a href="javascript:getOnlinePrice('BCX71JLT1G');"&gt;Price&lt;/a&gt;&lt;/span&gt;</t>
  </si>
  <si>
    <t>Bipolar Power NPN, 1.5 A, 45 V</t>
  </si>
  <si>
    <t>12.5</t>
  </si>
  <si>
    <t>$0.2</t>
  </si>
  <si>
    <t>Bipolar Power PNP, 1.5 A, 45 V</t>
  </si>
  <si>
    <t>$0.1933</t>
  </si>
  <si>
    <t>Bipolar Power NPN, 1.5 A, 60 V</t>
  </si>
  <si>
    <t>Bipolar Power PNP, 1.5 A, 60 V</t>
  </si>
  <si>
    <t>Bipolar Power NPN, 1.5 A, 80 V</t>
  </si>
  <si>
    <t>Bipolar Power PNP, 1.5 A, 80 V</t>
  </si>
  <si>
    <t>Bipolar Power NPN, 0.5 A, 350 V</t>
  </si>
  <si>
    <t>Bipolar Power PNP, 2 A, 45 V</t>
  </si>
  <si>
    <t>Bipolar Power NPN, 2 A, 80 V</t>
  </si>
  <si>
    <t>Bipolar Power NPN, 3 A, 100 V</t>
  </si>
  <si>
    <t>$0.28</t>
  </si>
  <si>
    <t>Bipolar Power PNP, 3 A, 100 V</t>
  </si>
  <si>
    <t>Bipolar Power NPN, 6 A, 100 V</t>
  </si>
  <si>
    <t>$0.56</t>
  </si>
  <si>
    <t>Bipolar Power PNP, 6 A, 80 V</t>
  </si>
  <si>
    <t>Bipolar Power PNP, 6 A, 100 V</t>
  </si>
  <si>
    <t>Bipolar Power NPN, 4 A, 32 V</t>
  </si>
  <si>
    <t>36</t>
  </si>
  <si>
    <t>$0.3067</t>
  </si>
  <si>
    <t>Bipolar Power PNP, 4 A, 32 V</t>
  </si>
  <si>
    <t>$0.32</t>
  </si>
  <si>
    <t>Bipolar Power NPN, 4 A, 45 V</t>
  </si>
  <si>
    <t>Bipolar Power PNP, 4 A, 45 V</t>
  </si>
  <si>
    <t>Bipolar Power NPN, 10 A, 80 V</t>
  </si>
  <si>
    <t>Bipolar Power PNP, 10 A, 80 V</t>
  </si>
  <si>
    <t>0.83</t>
  </si>
  <si>
    <t>$0.056</t>
  </si>
  <si>
    <t>&lt;span id="price_BF720T1G"&gt;&lt;a href="javascript:getOnlinePrice('BF720T1G');"&gt;Price&lt;/a&gt;&lt;/span&gt;</t>
  </si>
  <si>
    <t>$0.272</t>
  </si>
  <si>
    <t>&lt;span id="price_BSS63LT1G"&gt;&lt;a href="javascript:getOnlinePrice('BSS63LT1G');"&gt;Price&lt;/a&gt;&lt;/span&gt;</t>
  </si>
  <si>
    <t>&lt;span id="price_BSS64LT1G"&gt;&lt;a href="javascript:getOnlinePrice('BSS64LT1G');"&gt;Price&lt;/a&gt;&lt;/span&gt;</t>
  </si>
  <si>
    <t>Bipolar Power NPN, 7 A, 200 V</t>
  </si>
  <si>
    <t>$0.6</t>
  </si>
  <si>
    <t>Bipolar Power NPN, 4 A, 650 V</t>
  </si>
  <si>
    <t>DPAK_x0012_3 (SINGLE GAUGE)</t>
  </si>
  <si>
    <t>$0.3467</t>
  </si>
  <si>
    <t>DPAK 4 LEAD Single Gauge Surface Mount</t>
  </si>
  <si>
    <t>Bipolar Power NPN, 10 A, 700 V</t>
  </si>
  <si>
    <t>23</t>
  </si>
  <si>
    <t>$0.7333</t>
  </si>
  <si>
    <t>Bipolar Power NPN, 15 A, 400 V</t>
  </si>
  <si>
    <t>8</t>
  </si>
  <si>
    <t>$0.92</t>
  </si>
  <si>
    <t>Bipolar Power NPN, 4 A, 500 V</t>
  </si>
  <si>
    <t>Bipolar Power NPN, 3 A, 800 V</t>
  </si>
  <si>
    <t>Bipolar Power NPN, 6 A, 400 V</t>
  </si>
  <si>
    <t>14</t>
  </si>
  <si>
    <t>34</t>
  </si>
  <si>
    <t>TO-220 3 LEAD FULLPAK</t>
  </si>
  <si>
    <t>Bipolar Power NPN, 2 A, 400 V</t>
  </si>
  <si>
    <t>Bipolar Power NPN, 5 A, 400 V</t>
  </si>
  <si>
    <t>$0.6133</t>
  </si>
  <si>
    <t>22</t>
  </si>
  <si>
    <t>Bipolar Power NPN, 3 A, 825 V</t>
  </si>
  <si>
    <t>440</t>
  </si>
  <si>
    <t>Bipolar Power NPN, 40 A, 200 V</t>
  </si>
  <si>
    <t>$5.5332</t>
  </si>
  <si>
    <t>Bipolar Power NPN, 40 A, 250 V</t>
  </si>
  <si>
    <t>&lt;span id="price_BUV26G"&gt;&lt;a href="javascript:getOnlinePrice('BUV26G');"&gt;Price&lt;/a&gt;&lt;/span&gt;</t>
  </si>
  <si>
    <t>Bipolar Power NPN, 8 A, 120 V</t>
  </si>
  <si>
    <t>12</t>
  </si>
  <si>
    <t>Bipolar Power NPN, 2 A, 450 V</t>
  </si>
  <si>
    <t>$0.44</t>
  </si>
  <si>
    <t>$0.48</t>
  </si>
  <si>
    <t>Bipolar Power NPN, 10 A, 60 V</t>
  </si>
  <si>
    <t>83</t>
  </si>
  <si>
    <t>Bipolar Power PNP, 10 A, 60 V</t>
  </si>
  <si>
    <t>&lt;span id="price_D45VH10G"&gt;&lt;a href="javascript:getOnlinePrice('D45VH10G');"&gt;Price&lt;/a&gt;&lt;/span&gt;</t>
  </si>
  <si>
    <t>Dual General Purpose Transistor</t>
  </si>
  <si>
    <t>Dual NPN General Purpose Amplifier Transistor</t>
  </si>
  <si>
    <t>Dual General Purpose Transistors NPN/PNP Complementary</t>
  </si>
  <si>
    <t>SC-74 (SC-59ML) 6 LEAD</t>
  </si>
  <si>
    <t>$0.048</t>
  </si>
  <si>
    <t>&lt;span id="price_MBT3904DW1T1G"&gt;&lt;a href="javascript:getOnlinePrice('MBT3904DW1T1G');"&gt;Price&lt;/a&gt;&lt;/span&gt;</t>
  </si>
  <si>
    <t>Dual General Purpose Transistors</t>
  </si>
  <si>
    <t>Small Signal Dual NPN General Purpose Transistor</t>
  </si>
  <si>
    <t>1250</t>
  </si>
  <si>
    <t>Bipolar Power PNP, 60 A, 60 V</t>
  </si>
  <si>
    <t>$6.0665</t>
  </si>
  <si>
    <t>Bipolar Power NPN, 60 A, 80 V</t>
  </si>
  <si>
    <t>$1.2266</t>
  </si>
  <si>
    <t>Bipolar Power PNP, 30 A, 100 V</t>
  </si>
  <si>
    <t>Bipolar Power NPN, 30 A, 90 V</t>
  </si>
  <si>
    <t>D2PAK 3 LEAD</t>
  </si>
  <si>
    <t>Bipolar Power NPN, 8 A, 80 V</t>
  </si>
  <si>
    <t>$0.5067</t>
  </si>
  <si>
    <t>Bipolar Power PNP, 8 A, 80 V</t>
  </si>
  <si>
    <t>&lt;span id="price_MJD148T4G"&gt;&lt;a href="javascript:getOnlinePrice('MJD148T4G');"&gt;Price&lt;/a&gt;&lt;/span&gt;</t>
  </si>
  <si>
    <t>&lt;span id="price_MJD18002D2T4G"&gt;&lt;a href="javascript:getOnlinePrice('MJD18002D2T4G');"&gt;Price&lt;/a&gt;&lt;/span&gt;</t>
  </si>
  <si>
    <t>Bipolar Power NPN, 5 A, 25 V</t>
  </si>
  <si>
    <t>$0.5333</t>
  </si>
  <si>
    <t>Bipolar Power PNP, 5 A, 25 V</t>
  </si>
  <si>
    <t>&lt;span id="price_MJD210RLG"&gt;&lt;a href="javascript:getOnlinePrice('MJD210RLG');"&gt;Price&lt;/a&gt;&lt;/span&gt;</t>
  </si>
  <si>
    <t>Bipolar Power NPN, 4 A, 100 V</t>
  </si>
  <si>
    <t>Bipolar Power PNP, 4 A, 100 V</t>
  </si>
  <si>
    <t>$0.2667</t>
  </si>
  <si>
    <t>&lt;span id="price_MJD31CRLG"&gt;&lt;a href="javascript:getOnlinePrice('MJD31CRLG');"&gt;Price&lt;/a&gt;&lt;/span&gt;</t>
  </si>
  <si>
    <t>&lt;span id="price_MJD32CT4G"&gt;&lt;a href="javascript:getOnlinePrice('MJD32CT4G');"&gt;Price&lt;/a&gt;&lt;/span&gt;</t>
  </si>
  <si>
    <t>Bipolar Power NPN, 0.5 A, 300 V</t>
  </si>
  <si>
    <t>&lt;span id="price_MJD340RLG"&gt;&lt;a href="javascript:getOnlinePrice('MJD340RLG');"&gt;Price&lt;/a&gt;&lt;/span&gt;</t>
  </si>
  <si>
    <t>Bipolar Power PNP, 0.5 A, 300 V</t>
  </si>
  <si>
    <t>$0.1867</t>
  </si>
  <si>
    <t>&lt;span id="price_MJD41CRLG"&gt;&lt;a href="javascript:getOnlinePrice('MJD41CRLG');"&gt;Price&lt;/a&gt;&lt;/span&gt;</t>
  </si>
  <si>
    <t>&lt;span id="price_MJD42CT4G"&gt;&lt;a href="javascript:getOnlinePrice('MJD42CT4G');"&gt;Price&lt;/a&gt;&lt;/span&gt;</t>
  </si>
  <si>
    <t>1000</t>
  </si>
  <si>
    <t>$0.2933</t>
  </si>
  <si>
    <t>&lt;span id="price_MJD44H11T4G"&gt;&lt;a href="javascript:getOnlinePrice('MJD44H11T4G');"&gt;Price&lt;/a&gt;&lt;/span&gt;</t>
  </si>
  <si>
    <t>$0.2493</t>
  </si>
  <si>
    <t>Bipolar Power NPN, 1 A, 400 V</t>
  </si>
  <si>
    <t>Bipolar Power PNP, 1 A, 350 V</t>
  </si>
  <si>
    <t>175</t>
  </si>
  <si>
    <t>Bipolar Power NPN, 1.5 A, 400 V</t>
  </si>
  <si>
    <t>Bipolar Power NPN, 4 A, 400 V</t>
  </si>
  <si>
    <t>Bipolar Power NPN, 8 A, 400 V</t>
  </si>
  <si>
    <t>Bipolar Power NPN, 12 A, 400 V</t>
  </si>
  <si>
    <t>Bipolar Power PNP, 8 A, 250 V</t>
  </si>
  <si>
    <t>&lt;span id="price_MJE15033G"&gt;&lt;a href="javascript:getOnlinePrice('MJE15033G');"&gt;Price&lt;/a&gt;&lt;/span&gt;</t>
  </si>
  <si>
    <t>&lt;span id="price_MJE171G"&gt;&lt;a href="javascript:getOnlinePrice('MJE171G');"&gt;Price&lt;/a&gt;&lt;/span&gt;</t>
  </si>
  <si>
    <t>&lt;span id="price_MJE18002G"&gt;&lt;a href="javascript:getOnlinePrice('MJE18002G');"&gt;Price&lt;/a&gt;&lt;/span&gt;</t>
  </si>
  <si>
    <t>Bipolar Power NPN, 5 A, 1000 V</t>
  </si>
  <si>
    <t>Bipolar Power NPN, 6 A, 450 V</t>
  </si>
  <si>
    <t>$0.8933</t>
  </si>
  <si>
    <t>Bipolar Power NPN, 8 A, 450 V</t>
  </si>
  <si>
    <t>13</t>
  </si>
  <si>
    <t>$0.8533</t>
  </si>
  <si>
    <t>$0.2333</t>
  </si>
  <si>
    <t>Bipolar Power NPN, 0.3 A, 350 V</t>
  </si>
  <si>
    <t>0.3</t>
  </si>
  <si>
    <t>Bipolar Power NPN, 0.5 A, 200 V</t>
  </si>
  <si>
    <t>Bipolar Power PNP, 4 A, 40 V</t>
  </si>
  <si>
    <t>Bipolar Power NPN, 16 A, 160 V</t>
  </si>
  <si>
    <t>SOT-93 (T0-218) 4 LEAD</t>
  </si>
  <si>
    <t>$1.8666</t>
  </si>
  <si>
    <t>Bipolar Power PNP, 16 A, 160 V</t>
  </si>
  <si>
    <t>$1.9333</t>
  </si>
  <si>
    <t>Bipolar Power PNP, 1 A, 300 V</t>
  </si>
  <si>
    <t>Bipolar Power PNP, 1 A, 375 V</t>
  </si>
  <si>
    <t>Bipolar Power PNP, 8 A, 300 V</t>
  </si>
  <si>
    <t>$2.0</t>
  </si>
  <si>
    <t>Bipolar Power PNP, 8 A, 350 V</t>
  </si>
  <si>
    <t>Bipolar Power PNP, 8 A, 400 V</t>
  </si>
  <si>
    <t>&lt;span id="price_MJE5852G"&gt;&lt;a href="javascript:getOnlinePrice('MJE5852G');"&gt;Price&lt;/a&gt;&lt;/span&gt;</t>
  </si>
  <si>
    <t>Bipolar Power NPN, 8 A, 150 V</t>
  </si>
  <si>
    <t>&lt;span id="price_MJF15030G"&gt;&lt;a href="javascript:getOnlinePrice('MJF15030G');"&gt;Price&lt;/a&gt;&lt;/span&gt;</t>
  </si>
  <si>
    <t>Bipolar Power PNP, 8 A, 150 V</t>
  </si>
  <si>
    <t>&lt;span id="price_MJF15031G"&gt;&lt;a href="javascript:getOnlinePrice('MJF15031G');"&gt;Price&lt;/a&gt;&lt;/span&gt;</t>
  </si>
  <si>
    <t>Bipolar Power NPN, 5 A, 450 V</t>
  </si>
  <si>
    <t>35</t>
  </si>
  <si>
    <t>$0.7733</t>
  </si>
  <si>
    <t>$1.0853</t>
  </si>
  <si>
    <t>Bipolar Power PNP, 10 A, 90 V</t>
  </si>
  <si>
    <t>Bipolar Power NPN, 10 A, 90 V</t>
  </si>
  <si>
    <t>28</t>
  </si>
  <si>
    <t>$0.8</t>
  </si>
  <si>
    <t>Bipolar Power NPN, 30 A, 450 V</t>
  </si>
  <si>
    <t>TO-247</t>
  </si>
  <si>
    <t>$3.7999</t>
  </si>
  <si>
    <t>0.7</t>
  </si>
  <si>
    <t>0.342</t>
  </si>
  <si>
    <t>&lt;span id="price_MMBT2222AWT1G"&gt;&lt;a href="javascript:getOnlinePrice('MMBT2222AWT1G');"&gt;Price&lt;/a&gt;&lt;/span&gt;</t>
  </si>
  <si>
    <t>Small Signal General Purpose Transistor NPN</t>
  </si>
  <si>
    <t>&lt;span id="price_MMBT2484LT1G"&gt;&lt;a href="javascript:getOnlinePrice('MMBT2484LT1G');"&gt;Price&lt;/a&gt;&lt;/span&gt;</t>
  </si>
  <si>
    <t>Small Signal General Purpose PNP</t>
  </si>
  <si>
    <t>&lt;span id="price_MMBT3904TT1G"&gt;&lt;a href="javascript:getOnlinePrice('MMBT3904TT1G');"&gt;Price&lt;/a&gt;&lt;/span&gt;</t>
  </si>
  <si>
    <t>&lt;span id="price_MMBT3906LT1G"&gt;&lt;a href="javascript:getOnlinePrice('MMBT3906LT1G');"&gt;Price&lt;/a&gt;&lt;/span&gt;</t>
  </si>
  <si>
    <t>Gereral Purpose NPN, 20 V</t>
  </si>
  <si>
    <t>Small Signal Switching Transistor NPN</t>
  </si>
  <si>
    <t>Small Signal Switching Transistor PNP</t>
  </si>
  <si>
    <t>Small Signal Switching NPN Transistor</t>
  </si>
  <si>
    <t>0.31</t>
  </si>
  <si>
    <t>$0.24</t>
  </si>
  <si>
    <t>Small Signal Low Noise Transistor PNP</t>
  </si>
  <si>
    <t>&lt;span id="price_MMBT5087LT1G"&gt;&lt;a href="javascript:getOnlinePrice('MMBT5087LT1G');"&gt;Price&lt;/a&gt;&lt;/span&gt;</t>
  </si>
  <si>
    <t>Small Signal Low Noise Transistor NPN</t>
  </si>
  <si>
    <t>&lt;span id="price_MMBT5088LT1G"&gt;&lt;a href="javascript:getOnlinePrice('MMBT5088LT1G');"&gt;Price&lt;/a&gt;&lt;/span&gt;</t>
  </si>
  <si>
    <t>&lt;span id="price_MMBT5089LT1G"&gt;&lt;a href="javascript:getOnlinePrice('MMBT5089LT1G');"&gt;Price&lt;/a&gt;&lt;/span&gt;</t>
  </si>
  <si>
    <t>Small Signal High Voltage PNP</t>
  </si>
  <si>
    <t>&lt;span id="price_MMBT5401LT1G"&gt;&lt;a href="javascript:getOnlinePrice('MMBT5401LT1G');"&gt;Price&lt;/a&gt;&lt;/span&gt;</t>
  </si>
  <si>
    <t>Small Signal High Voltage Transistor NPN</t>
  </si>
  <si>
    <t>0.06</t>
  </si>
  <si>
    <t>Small Signal General Purpose Transistor</t>
  </si>
  <si>
    <t>650</t>
  </si>
  <si>
    <t>&lt;span id="price_MMBT6428LT1G"&gt;&lt;a href="javascript:getOnlinePrice('MMBT6428LT1G');"&gt;Price&lt;/a&gt;&lt;/span&gt;</t>
  </si>
  <si>
    <t>Small Signal NPN General Purpose Transistor</t>
  </si>
  <si>
    <t>&lt;span id="price_MMBT6429LT1G"&gt;&lt;a href="javascript:getOnlinePrice('MMBT6429LT1G');"&gt;Price&lt;/a&gt;&lt;/span&gt;</t>
  </si>
  <si>
    <t>&lt;span id="price_MMBT6517LT1G"&gt;&lt;a href="javascript:getOnlinePrice('MMBT6517LT1G');"&gt;Price&lt;/a&gt;&lt;/span&gt;</t>
  </si>
  <si>
    <t>&lt;span id="price_MMBT6520LT1G"&gt;&lt;a href="javascript:getOnlinePrice('MMBT6520LT1G');"&gt;Price&lt;/a&gt;&lt;/span&gt;</t>
  </si>
  <si>
    <t>Small Signal Amplifier NPN</t>
  </si>
  <si>
    <t>Small Signal Driver NPN</t>
  </si>
  <si>
    <t>Small Signal High Voltage NPN</t>
  </si>
  <si>
    <t>&lt;span id="price_MMBTA42LT1G"&gt;&lt;a href="javascript:getOnlinePrice('MMBTA42LT1G');"&gt;Price&lt;/a&gt;&lt;/span&gt;</t>
  </si>
  <si>
    <t>Small Signal Driver PNP</t>
  </si>
  <si>
    <t>2.75</t>
  </si>
  <si>
    <t>$0.1667</t>
  </si>
  <si>
    <t>Small Signal General Purpose NPN</t>
  </si>
  <si>
    <t>Small Signal General Purpose-NPN</t>
  </si>
  <si>
    <t>170</t>
  </si>
  <si>
    <t>General Purpose Transistor NPN, 25 V</t>
  </si>
  <si>
    <t>Small Signal High Current NPN</t>
  </si>
  <si>
    <t>&lt;span id="price_MPS650RLRAG"&gt;&lt;a href="javascript:getOnlinePrice('MPS650RLRAG');"&gt;Price&lt;/a&gt;&lt;/span&gt;</t>
  </si>
  <si>
    <t>&lt;span id="price_MPS650ZL1G"&gt;&lt;a href="javascript:getOnlinePrice('MPS650ZL1G');"&gt;Price&lt;/a&gt;&lt;/span&gt;</t>
  </si>
  <si>
    <t>&lt;span id="price_MPS6601RLRAG"&gt;&lt;a href="javascript:getOnlinePrice('MPS6601RLRAG');"&gt;Price&lt;/a&gt;&lt;/span&gt;</t>
  </si>
  <si>
    <t>Small Signal Amplifier PNP</t>
  </si>
  <si>
    <t>Small Signal High Current PNP</t>
  </si>
  <si>
    <t>Amplifier Transistors PNP</t>
  </si>
  <si>
    <t>$0.064</t>
  </si>
  <si>
    <t>Low Noise Transistor</t>
  </si>
  <si>
    <t>1500</t>
  </si>
  <si>
    <t>55</t>
  </si>
  <si>
    <t>&lt;span id="price_MPSA56RLRAG"&gt;&lt;a href="javascript:getOnlinePrice('MPSA56RLRAG');"&gt;Price&lt;/a&gt;&lt;/span&gt;</t>
  </si>
  <si>
    <t xml:space="preserve">Small Signal High Current NPN </t>
  </si>
  <si>
    <t>1 W Amplifier Transistors</t>
  </si>
  <si>
    <t>1 W High Voltage Transistor</t>
  </si>
  <si>
    <t>1 W High Current Transistors</t>
  </si>
  <si>
    <t>General Purpose Amplifier Transistors</t>
  </si>
  <si>
    <t>SC-59 3 LEAD</t>
  </si>
  <si>
    <t>&lt;span id="price_MSA1162GT1G"&gt;&lt;a href="javascript:getOnlinePrice('MSA1162GT1G');"&gt;Price&lt;/a&gt;&lt;/span&gt;</t>
  </si>
  <si>
    <t>General Purpose Amplifier Transistor PNP</t>
  </si>
  <si>
    <t>210</t>
  </si>
  <si>
    <t>340</t>
  </si>
  <si>
    <t xml:space="preserve">High Voltage Transistor PNP </t>
  </si>
  <si>
    <t>$0.072</t>
  </si>
  <si>
    <t>SS SC59 HV XSTR PNP 300V</t>
  </si>
  <si>
    <t>&lt;span id="price_MSB92WT1G"&gt;&lt;a href="javascript:getOnlinePrice('MSB92WT1G');"&gt;Price&lt;/a&gt;&lt;/span&gt;</t>
  </si>
  <si>
    <t>General Purpose Amplifier Transistor</t>
  </si>
  <si>
    <t>&lt;span id="price_MSC2712GT1G"&gt;&lt;a href="javascript:getOnlinePrice('MSC2712GT1G');"&gt;Price&lt;/a&gt;&lt;/span&gt;</t>
  </si>
  <si>
    <t>Small Signal NPN</t>
  </si>
  <si>
    <t>General Purpose High Voltage Transistor NPN</t>
  </si>
  <si>
    <t>General Purpose Amplifier Surface Mount</t>
  </si>
  <si>
    <t>&lt;span id="price_MSD601-RT1G"&gt;&lt;a href="javascript:getOnlinePrice('MSD601-RT1G');"&gt;Price&lt;/a&gt;&lt;/span&gt;</t>
  </si>
  <si>
    <t xml:space="preserve">Bipolar Power NPN 2 A, 50 V </t>
  </si>
  <si>
    <t>&lt;span id="price_NJD2873T4G"&gt;&lt;a href="javascript:getOnlinePrice('NJD2873T4G');"&gt;Price&lt;/a&gt;&lt;/span&gt;</t>
  </si>
  <si>
    <t>40 V, 3 A PNP Bipolar Power Transistor</t>
  </si>
  <si>
    <t>SOT-223 NPN 40V/3A Bipolar Power Transistor</t>
  </si>
  <si>
    <t>$0.0907</t>
  </si>
  <si>
    <t>150W TO-3P NPN Sustained Beta Audio Output Transistor</t>
  </si>
  <si>
    <t>TO-3P-3LD</t>
  </si>
  <si>
    <t>&lt;span id="price_NJW0281G"&gt;&lt;a href="javascript:getOnlinePrice('NJW0281G');"&gt;Price&lt;/a&gt;&lt;/span&gt;</t>
  </si>
  <si>
    <t>150W TO-3P PNP Sustained Beta Audio Output Transistor</t>
  </si>
  <si>
    <t>&lt;span id="price_NJW0302G"&gt;&lt;a href="javascript:getOnlinePrice('NJW0302G');"&gt;Price&lt;/a&gt;&lt;/span&gt;</t>
  </si>
  <si>
    <t>200W TO-3P PNP Sustained Beta Audio Output Transistor</t>
  </si>
  <si>
    <t>&lt;span id="price_NJW1302G"&gt;&lt;a href="javascript:getOnlinePrice('NJW1302G');"&gt;Price&lt;/a&gt;&lt;/span&gt;</t>
  </si>
  <si>
    <t>200W PNP Medium Frequency TO-3P Audio Output Transistor</t>
  </si>
  <si>
    <t>200W NPN Medium Frequency TO-3P Audio Output Transistor</t>
  </si>
  <si>
    <t>&lt;span id="price_NJW21194G"&gt;&lt;a href="javascript:getOnlinePrice('NJW21194G');"&gt;Price&lt;/a&gt;&lt;/span&gt;</t>
  </si>
  <si>
    <t>200W TO-3P NPN Sustained Beta Audio Output Transistor</t>
  </si>
  <si>
    <t>&lt;span id="price_NJW3281G"&gt;&lt;a href="javascript:getOnlinePrice('NJW3281G');"&gt;Price&lt;/a&gt;&lt;/span&gt;</t>
  </si>
  <si>
    <t>100V 2A Low Vce(sat) PNP SOT-23</t>
  </si>
  <si>
    <t>0.71</t>
  </si>
  <si>
    <t>$0.135</t>
  </si>
  <si>
    <t>40V 3.0A PNP Low VCE(sat) Transistor SOT223</t>
  </si>
  <si>
    <t>&lt;span id="price_NSS40300MZ4T1G"&gt;&lt;a href="javascript:getOnlinePrice('NSS40300MZ4T1G');"&gt;Price&lt;/a&gt;&lt;/span&gt;</t>
  </si>
  <si>
    <t>40V 3.0A NPN Low VCE(sat) Transistor SOT223</t>
  </si>
  <si>
    <t>&lt;span id="price_NSS40301MZ4T1G"&gt;&lt;a href="javascript:getOnlinePrice('NSS40301MZ4T1G');"&gt;Price&lt;/a&gt;&lt;/span&gt;</t>
  </si>
  <si>
    <t>PNP Low VCE(sat) Transistor</t>
  </si>
  <si>
    <t>60 V, 6.0 A, Low V&lt;sub&gt;CE(sat)&lt;/sub&gt; NPN Transistor SOT223</t>
  </si>
  <si>
    <t>Dual Matched General Purpose PNP Transistor</t>
  </si>
  <si>
    <t>270</t>
  </si>
  <si>
    <t>&lt;span id="price_NST30010MXV6T1G"&gt;&lt;a href="javascript:getOnlinePrice('NST30010MXV6T1G');"&gt;Price&lt;/a&gt;&lt;/span&gt;</t>
  </si>
  <si>
    <t>Small Signal Dual Switching Transistor NPN</t>
  </si>
  <si>
    <t>Small Signal Dual Switching Transistor PNP</t>
  </si>
  <si>
    <t>&lt;span id="price_NST3906DXV6T1G"&gt;&lt;a href="javascript:getOnlinePrice('NST3906DXV6T1G');"&gt;Price&lt;/a&gt;&lt;/span&gt;</t>
  </si>
  <si>
    <t>Small Signal Dual Switching Transistor NPN &amp; PNP</t>
  </si>
  <si>
    <t>Dual Matched General Purpose NPN Transistor</t>
  </si>
  <si>
    <t xml:space="preserve">Small Signal 30 V, 2 A NPN Transistor </t>
  </si>
  <si>
    <t>0.535</t>
  </si>
  <si>
    <t>TSOP-6</t>
  </si>
  <si>
    <t>&lt;span id="price_NST489AMT1G"&gt;&lt;a href="javascript:getOnlinePrice('NST489AMT1G');"&gt;Price&lt;/a&gt;&lt;/span&gt;</t>
  </si>
  <si>
    <t>Small Signal</t>
  </si>
  <si>
    <t>General Purpose Transistor</t>
  </si>
  <si>
    <t>Small Signal Switch NPN</t>
  </si>
  <si>
    <t>Small Signal Switch PNP</t>
  </si>
  <si>
    <t>High Current General Purpose Transistor</t>
  </si>
  <si>
    <t>$0.304</t>
  </si>
  <si>
    <t>Small Signal High-Voltage NPN</t>
  </si>
  <si>
    <t>High Voltage Transistor</t>
  </si>
  <si>
    <t>Bipolar Power NPN, 1 A, 60 V</t>
  </si>
  <si>
    <t>Bipolar Power NPN, 1 A, 80 V</t>
  </si>
  <si>
    <t>Bipolar Power NPN, 1 A, 100 V</t>
  </si>
  <si>
    <t>Bipolar Power PNP, 1 A, 100 V</t>
  </si>
  <si>
    <t>&lt;span id="price_TIP32CG"&gt;&lt;a href="javascript:getOnlinePrice('TIP32CG');"&gt;Price&lt;/a&gt;&lt;/span&gt;</t>
  </si>
  <si>
    <t>Bipolar Power NPN, 10 A, 100 V</t>
  </si>
  <si>
    <t>$1.0666</t>
  </si>
  <si>
    <t>$1.2</t>
  </si>
  <si>
    <t>Bipolar Power PNP, 25 A, 100 V</t>
  </si>
  <si>
    <t>Bipolar Power NPN, 6 A, 60 V</t>
  </si>
  <si>
    <t>Bipolar Power NPN, 6 A, 80 V</t>
  </si>
  <si>
    <t>Bipolar Power PNP, 6 A, 60 V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</si>
</sst>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0"/>
  <sheetViews>
    <sheetView tabSelected="1" workbookViewId="0" topLeftCell="A1">
      <pane ySplit="1" topLeftCell="BM872" activePane="bottomLeft" state="frozen"/>
      <selection pane="topLeft" activeCell="A1" sqref="A1"/>
      <selection pane="bottomLeft" activeCell="A2" sqref="A2:B880"/>
    </sheetView>
  </sheetViews>
  <sheetFormatPr defaultColWidth="9.140625" defaultRowHeight="12.75"/>
  <cols>
    <col min="1" max="14" width="18.00390625" style="0" customWidth="1"/>
  </cols>
  <sheetData>
    <row r="1" spans="1:14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</row>
    <row r="2" spans="1:14" ht="12.75">
      <c r="A2" t="str">
        <f>HYPERLINK("http://www.onsemi.com/PowerSolutions/product.do?id=NSS1C200MZ4T1G","NSS1C200MZ4T1G")</f>
        <v>NSS1C200MZ4T1G</v>
      </c>
      <c r="B2" t="str">
        <f>HYPERLINK("http://www.onsemi.com/pub/Collateral/NSS1C200MZ4-D.PDF","NSS1C200MZ4/D (75.0kB)")</f>
        <v>NSS1C200MZ4/D (75.0kB)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24</v>
      </c>
      <c r="K2" t="s">
        <v>26</v>
      </c>
      <c r="M2" t="s">
        <v>28</v>
      </c>
      <c r="N2" t="s">
        <v>29</v>
      </c>
    </row>
    <row r="3" spans="1:14" ht="12.75">
      <c r="A3" t="str">
        <f>HYPERLINK("http://www.onsemi.com/PowerSolutions/product.do?id=NSS1C200MZ4T3G","NSS1C200MZ4T3G")</f>
        <v>NSS1C200MZ4T3G</v>
      </c>
      <c r="B3" t="str">
        <f>HYPERLINK("http://www.onsemi.com/pub/Collateral/NSS1C200MZ4-D.PDF","NSS1C200MZ4/D (75.0kB)")</f>
        <v>NSS1C200MZ4/D (75.0kB)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24</v>
      </c>
      <c r="K3" t="s">
        <v>26</v>
      </c>
      <c r="M3" t="s">
        <v>28</v>
      </c>
      <c r="N3" t="s">
        <v>29</v>
      </c>
    </row>
    <row r="4" spans="1:14" ht="12.75">
      <c r="A4" t="str">
        <f>HYPERLINK("http://www.onsemi.com/PowerSolutions/product.do?id=NSS20101JT1G","NSS20101JT1G")</f>
        <v>NSS20101JT1G</v>
      </c>
      <c r="B4" t="str">
        <f>HYPERLINK("http://www.onsemi.com/pub/Collateral/NSS20101J-D.PDF","NSS20101J/D (109.0kB)")</f>
        <v>NSS20101J/D (109.0kB)</v>
      </c>
      <c r="C4" t="s">
        <v>19</v>
      </c>
      <c r="D4" t="s">
        <v>20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M4" t="s">
        <v>37</v>
      </c>
      <c r="N4" t="s">
        <v>38</v>
      </c>
    </row>
    <row r="5" spans="1:14" ht="12.75">
      <c r="A5" t="str">
        <f>HYPERLINK("http://www.onsemi.com/PowerSolutions/product.do?id=NSS40300MDR2G","NSS40300MDR2G")</f>
        <v>NSS40300MDR2G</v>
      </c>
      <c r="B5" t="str">
        <f>HYPERLINK("http://www.onsemi.com/pub/Collateral/NSS40300MD-D.PDF","NSS40300MD/D (106.0kB)")</f>
        <v>NSS40300MD/D (106.0kB)</v>
      </c>
      <c r="C5" t="s">
        <v>19</v>
      </c>
      <c r="D5" t="s">
        <v>20</v>
      </c>
      <c r="E5" t="s">
        <v>39</v>
      </c>
      <c r="F5" t="s">
        <v>40</v>
      </c>
      <c r="G5" t="s">
        <v>41</v>
      </c>
      <c r="H5" t="s">
        <v>42</v>
      </c>
      <c r="J5" t="s">
        <v>23</v>
      </c>
      <c r="M5" t="s">
        <v>43</v>
      </c>
      <c r="N5" t="s">
        <v>44</v>
      </c>
    </row>
    <row r="6" spans="1:14" ht="12.75">
      <c r="A6" t="str">
        <f>HYPERLINK("http://www.onsemi.com/PowerSolutions/product.do?id=NSS40301MDR2G","NSS40301MDR2G")</f>
        <v>NSS40301MDR2G</v>
      </c>
      <c r="B6" t="str">
        <f>HYPERLINK("http://www.onsemi.com/pub/Collateral/NSS40301MD-D.PDF","NSS40301MD/D (106.0kB)")</f>
        <v>NSS40301MD/D (106.0kB)</v>
      </c>
      <c r="C6" t="s">
        <v>19</v>
      </c>
      <c r="D6" t="s">
        <v>20</v>
      </c>
      <c r="E6" t="s">
        <v>45</v>
      </c>
      <c r="F6" t="s">
        <v>40</v>
      </c>
      <c r="G6" t="s">
        <v>41</v>
      </c>
      <c r="H6" t="s">
        <v>33</v>
      </c>
      <c r="J6" t="s">
        <v>23</v>
      </c>
      <c r="M6" t="s">
        <v>43</v>
      </c>
      <c r="N6" t="s">
        <v>44</v>
      </c>
    </row>
    <row r="7" spans="1:14" ht="12.75">
      <c r="A7" t="str">
        <f>HYPERLINK("http://www.onsemi.com/PowerSolutions/product.do?id=NST3904DP6T5G","NST3904DP6T5G")</f>
        <v>NST3904DP6T5G</v>
      </c>
      <c r="B7" t="str">
        <f>HYPERLINK("http://www.onsemi.com/pub/Collateral/NST3904DP6-D.PDF","NST3904DP6/D (95.0kB)")</f>
        <v>NST3904DP6/D (95.0kB)</v>
      </c>
      <c r="C7" t="s">
        <v>19</v>
      </c>
      <c r="D7" t="s">
        <v>20</v>
      </c>
      <c r="E7" t="s">
        <v>46</v>
      </c>
      <c r="F7" t="s">
        <v>47</v>
      </c>
      <c r="G7" t="s">
        <v>41</v>
      </c>
      <c r="H7" t="s">
        <v>23</v>
      </c>
      <c r="I7" t="s">
        <v>48</v>
      </c>
      <c r="J7" t="s">
        <v>33</v>
      </c>
      <c r="K7" t="s">
        <v>49</v>
      </c>
      <c r="L7" t="s">
        <v>50</v>
      </c>
      <c r="M7" t="s">
        <v>51</v>
      </c>
      <c r="N7" t="s">
        <v>52</v>
      </c>
    </row>
    <row r="8" spans="1:14" ht="12.75">
      <c r="A8" t="str">
        <f>HYPERLINK("http://www.onsemi.com/PowerSolutions/product.do?id=NST3904F3T5G","NST3904F3T5G")</f>
        <v>NST3904F3T5G</v>
      </c>
      <c r="B8" t="str">
        <f>HYPERLINK("http://www.onsemi.com/pub/Collateral/NST3904F3-D.PDF","NST3904F3/D (91.0kB)")</f>
        <v>NST3904F3/D (91.0kB)</v>
      </c>
      <c r="C8" t="s">
        <v>19</v>
      </c>
      <c r="D8" t="s">
        <v>20</v>
      </c>
      <c r="E8" t="s">
        <v>53</v>
      </c>
      <c r="F8" t="s">
        <v>47</v>
      </c>
      <c r="G8" t="s">
        <v>41</v>
      </c>
      <c r="H8" t="s">
        <v>23</v>
      </c>
      <c r="I8" t="s">
        <v>48</v>
      </c>
      <c r="J8" t="s">
        <v>33</v>
      </c>
      <c r="K8" t="s">
        <v>54</v>
      </c>
      <c r="L8" t="s">
        <v>50</v>
      </c>
      <c r="M8" t="s">
        <v>55</v>
      </c>
      <c r="N8" t="s">
        <v>56</v>
      </c>
    </row>
    <row r="9" spans="1:14" ht="12.75">
      <c r="A9" t="str">
        <f>HYPERLINK("http://www.onsemi.com/PowerSolutions/product.do?id=NST3906DP6T5G","NST3906DP6T5G")</f>
        <v>NST3906DP6T5G</v>
      </c>
      <c r="B9" t="str">
        <f>HYPERLINK("http://www.onsemi.com/pub/Collateral/NST3906DP6-D.PDF","NST3906DP6/D (96.0kB)")</f>
        <v>NST3906DP6/D (96.0kB)</v>
      </c>
      <c r="C9" t="s">
        <v>19</v>
      </c>
      <c r="D9" t="s">
        <v>20</v>
      </c>
      <c r="E9" t="s">
        <v>57</v>
      </c>
      <c r="F9" t="s">
        <v>47</v>
      </c>
      <c r="G9" t="s">
        <v>41</v>
      </c>
      <c r="H9" t="s">
        <v>23</v>
      </c>
      <c r="I9" t="s">
        <v>48</v>
      </c>
      <c r="J9" t="s">
        <v>58</v>
      </c>
      <c r="K9" t="s">
        <v>49</v>
      </c>
      <c r="L9" t="s">
        <v>59</v>
      </c>
      <c r="M9" t="s">
        <v>51</v>
      </c>
      <c r="N9" t="s">
        <v>52</v>
      </c>
    </row>
    <row r="10" spans="1:14" ht="12.75">
      <c r="A10" t="str">
        <f>HYPERLINK("http://www.onsemi.com/PowerSolutions/product.do?id=NST3906F3T5G","NST3906F3T5G")</f>
        <v>NST3906F3T5G</v>
      </c>
      <c r="B10" t="str">
        <f>HYPERLINK("http://www.onsemi.com/pub/Collateral/NST3906F3-D.PDF","NST3906F3/D (92.0kB)")</f>
        <v>NST3906F3/D (92.0kB)</v>
      </c>
      <c r="C10" t="s">
        <v>19</v>
      </c>
      <c r="D10" t="s">
        <v>20</v>
      </c>
      <c r="E10" t="s">
        <v>60</v>
      </c>
      <c r="F10" t="s">
        <v>47</v>
      </c>
      <c r="G10" t="s">
        <v>41</v>
      </c>
      <c r="H10" t="s">
        <v>23</v>
      </c>
      <c r="I10" t="s">
        <v>48</v>
      </c>
      <c r="J10" t="s">
        <v>58</v>
      </c>
      <c r="K10" t="s">
        <v>54</v>
      </c>
      <c r="L10" t="s">
        <v>59</v>
      </c>
      <c r="M10" t="s">
        <v>55</v>
      </c>
      <c r="N10" t="s">
        <v>56</v>
      </c>
    </row>
    <row r="11" spans="1:14" ht="12.75">
      <c r="A11" t="str">
        <f>HYPERLINK("http://www.onsemi.com/PowerSolutions/product.do?id=NST3946DP6T5G","NST3946DP6T5G")</f>
        <v>NST3946DP6T5G</v>
      </c>
      <c r="B11" t="str">
        <f>HYPERLINK("http://www.onsemi.com/pub/Collateral/NST3946DP6-D.PDF","NST3946DP6/D (103.0kB)")</f>
        <v>NST3946DP6/D (103.0kB)</v>
      </c>
      <c r="C11" t="s">
        <v>19</v>
      </c>
      <c r="D11" t="s">
        <v>20</v>
      </c>
      <c r="E11" t="s">
        <v>61</v>
      </c>
      <c r="F11" t="s">
        <v>47</v>
      </c>
      <c r="G11" t="s">
        <v>41</v>
      </c>
      <c r="H11" t="s">
        <v>23</v>
      </c>
      <c r="I11" t="s">
        <v>48</v>
      </c>
      <c r="J11" t="s">
        <v>33</v>
      </c>
      <c r="K11" t="s">
        <v>49</v>
      </c>
      <c r="L11" t="s">
        <v>62</v>
      </c>
      <c r="M11" t="s">
        <v>51</v>
      </c>
      <c r="N11" t="s">
        <v>52</v>
      </c>
    </row>
    <row r="12" spans="1:14" ht="12.75">
      <c r="A12" t="str">
        <f>HYPERLINK("http://www.onsemi.com/PowerSolutions/product.do?id=NST847BDP6T5G","NST847BDP6T5G")</f>
        <v>NST847BDP6T5G</v>
      </c>
      <c r="B12" t="str">
        <f>HYPERLINK("http://www.onsemi.com/pub/Collateral/NST847BDP6-D.PDF","NST847BDP6/D (93.0kB)")</f>
        <v>NST847BDP6/D (93.0kB)</v>
      </c>
      <c r="C12" t="s">
        <v>19</v>
      </c>
      <c r="D12" t="s">
        <v>20</v>
      </c>
      <c r="E12" t="s">
        <v>46</v>
      </c>
      <c r="F12" t="s">
        <v>63</v>
      </c>
      <c r="G12" t="s">
        <v>64</v>
      </c>
      <c r="H12" t="s">
        <v>33</v>
      </c>
      <c r="I12" t="s">
        <v>65</v>
      </c>
      <c r="J12" t="s">
        <v>23</v>
      </c>
      <c r="K12" t="s">
        <v>49</v>
      </c>
      <c r="L12" t="s">
        <v>50</v>
      </c>
      <c r="M12" t="s">
        <v>51</v>
      </c>
      <c r="N12" t="s">
        <v>52</v>
      </c>
    </row>
    <row r="13" spans="1:14" ht="12.75">
      <c r="A13" t="str">
        <f>HYPERLINK("http://www.onsemi.com/PowerSolutions/product.do?id=NST847BF3T5G","NST847BF3T5G")</f>
        <v>NST847BF3T5G</v>
      </c>
      <c r="B13" t="str">
        <f>HYPERLINK("http://www.onsemi.com/pub/Collateral/NST847BF3-D.PDF","NST847BF3/D (89.0kB)")</f>
        <v>NST847BF3/D (89.0kB)</v>
      </c>
      <c r="C13" t="s">
        <v>19</v>
      </c>
      <c r="D13" t="s">
        <v>20</v>
      </c>
      <c r="E13" t="s">
        <v>53</v>
      </c>
      <c r="F13" t="s">
        <v>63</v>
      </c>
      <c r="G13" t="s">
        <v>64</v>
      </c>
      <c r="H13" t="s">
        <v>33</v>
      </c>
      <c r="I13" t="s">
        <v>65</v>
      </c>
      <c r="J13" t="s">
        <v>23</v>
      </c>
      <c r="K13" t="s">
        <v>54</v>
      </c>
      <c r="L13" t="s">
        <v>50</v>
      </c>
      <c r="M13" t="s">
        <v>55</v>
      </c>
      <c r="N13" t="s">
        <v>56</v>
      </c>
    </row>
    <row r="14" spans="1:14" ht="12.75">
      <c r="A14" t="str">
        <f>HYPERLINK("http://www.onsemi.com/PowerSolutions/product.do?id=NST847BPDP6T5G","NST847BPDP6T5G")</f>
        <v>NST847BPDP6T5G</v>
      </c>
      <c r="B14" t="str">
        <f>HYPERLINK("http://www.onsemi.com/pub/Collateral/NST847BPDP6-D.PDF","NST847BPDP6/D (101.0kB)")</f>
        <v>NST847BPDP6/D (101.0kB)</v>
      </c>
      <c r="C14" t="s">
        <v>19</v>
      </c>
      <c r="D14" t="s">
        <v>20</v>
      </c>
      <c r="E14" t="s">
        <v>66</v>
      </c>
      <c r="F14" t="s">
        <v>63</v>
      </c>
      <c r="G14" t="s">
        <v>64</v>
      </c>
      <c r="H14" t="s">
        <v>33</v>
      </c>
      <c r="I14" t="s">
        <v>65</v>
      </c>
      <c r="J14" t="s">
        <v>23</v>
      </c>
      <c r="K14" t="s">
        <v>49</v>
      </c>
      <c r="L14" t="s">
        <v>62</v>
      </c>
      <c r="M14" t="s">
        <v>51</v>
      </c>
      <c r="N14" t="s">
        <v>52</v>
      </c>
    </row>
    <row r="15" spans="1:14" ht="12.75">
      <c r="A15" t="str">
        <f>HYPERLINK("http://www.onsemi.com/PowerSolutions/product.do?id=NST857BDP6T5G","NST857BDP6T5G")</f>
        <v>NST857BDP6T5G</v>
      </c>
      <c r="B15" t="str">
        <f>HYPERLINK("http://www.onsemi.com/pub/Collateral/NST857BDP6-D.PDF","NST857BDP6/D (93.0kB)")</f>
        <v>NST857BDP6/D (93.0kB)</v>
      </c>
      <c r="C15" t="s">
        <v>19</v>
      </c>
      <c r="D15" t="s">
        <v>20</v>
      </c>
      <c r="E15" t="s">
        <v>57</v>
      </c>
      <c r="F15" t="s">
        <v>63</v>
      </c>
      <c r="G15" t="s">
        <v>64</v>
      </c>
      <c r="H15" t="s">
        <v>42</v>
      </c>
      <c r="I15" t="s">
        <v>67</v>
      </c>
      <c r="J15" t="s">
        <v>23</v>
      </c>
      <c r="K15" t="s">
        <v>68</v>
      </c>
      <c r="L15" t="s">
        <v>59</v>
      </c>
      <c r="M15" t="s">
        <v>51</v>
      </c>
      <c r="N15" t="s">
        <v>52</v>
      </c>
    </row>
    <row r="16" spans="1:14" ht="12.75">
      <c r="A16" t="str">
        <f>HYPERLINK("http://www.onsemi.com/PowerSolutions/product.do?id=NST857BF3T5G","NST857BF3T5G")</f>
        <v>NST857BF3T5G</v>
      </c>
      <c r="B16" t="str">
        <f>HYPERLINK("http://www.onsemi.com/pub/Collateral/NST857BF3-D.PDF","NST857BF3/D (90.0kB)")</f>
        <v>NST857BF3/D (90.0kB)</v>
      </c>
      <c r="C16" t="s">
        <v>19</v>
      </c>
      <c r="D16" t="s">
        <v>20</v>
      </c>
      <c r="E16" t="s">
        <v>60</v>
      </c>
      <c r="F16" t="s">
        <v>63</v>
      </c>
      <c r="G16" t="s">
        <v>64</v>
      </c>
      <c r="H16" t="s">
        <v>42</v>
      </c>
      <c r="I16" t="s">
        <v>67</v>
      </c>
      <c r="J16" t="s">
        <v>23</v>
      </c>
      <c r="K16" t="s">
        <v>54</v>
      </c>
      <c r="L16" t="s">
        <v>59</v>
      </c>
      <c r="M16" t="s">
        <v>55</v>
      </c>
      <c r="N16" t="s">
        <v>56</v>
      </c>
    </row>
    <row r="17" spans="1:14" ht="12.75">
      <c r="A17" t="str">
        <f>HYPERLINK("http://www.onsemi.com/PowerSolutions/product.do?id=2N3055","2N3055")</f>
        <v>2N3055</v>
      </c>
      <c r="B17" t="str">
        <f>HYPERLINK("http://www.onsemi.com/pub/Collateral/2N3055-D.PDF","2N3055/D (70.0kB)")</f>
        <v>2N3055/D (70.0kB)</v>
      </c>
      <c r="C17" t="s">
        <v>69</v>
      </c>
      <c r="D17" t="s">
        <v>70</v>
      </c>
      <c r="E17" t="s">
        <v>71</v>
      </c>
      <c r="F17" t="s">
        <v>72</v>
      </c>
      <c r="G17" t="s">
        <v>73</v>
      </c>
      <c r="I17" t="s">
        <v>74</v>
      </c>
      <c r="J17" t="s">
        <v>75</v>
      </c>
      <c r="K17" t="s">
        <v>76</v>
      </c>
      <c r="L17" t="s">
        <v>50</v>
      </c>
      <c r="M17" t="s">
        <v>77</v>
      </c>
      <c r="N17" t="s">
        <v>78</v>
      </c>
    </row>
    <row r="18" spans="1:14" ht="12.75">
      <c r="A18" t="str">
        <f>HYPERLINK("http://www.onsemi.com/PowerSolutions/product.do?id=2N3055A","2N3055A")</f>
        <v>2N3055A</v>
      </c>
      <c r="B18" t="str">
        <f>HYPERLINK("http://www.onsemi.com/pub/Collateral/2N3055A-D.PDF","2N3055A/D (89.0kB)")</f>
        <v>2N3055A/D (89.0kB)</v>
      </c>
      <c r="C18" t="s">
        <v>69</v>
      </c>
      <c r="D18" t="s">
        <v>70</v>
      </c>
      <c r="E18" t="s">
        <v>71</v>
      </c>
      <c r="F18" t="s">
        <v>72</v>
      </c>
      <c r="G18" t="s">
        <v>73</v>
      </c>
      <c r="H18" t="s">
        <v>79</v>
      </c>
      <c r="I18" t="s">
        <v>74</v>
      </c>
      <c r="J18" t="s">
        <v>75</v>
      </c>
      <c r="K18" t="s">
        <v>76</v>
      </c>
      <c r="L18" t="s">
        <v>50</v>
      </c>
      <c r="M18" t="s">
        <v>77</v>
      </c>
      <c r="N18" t="s">
        <v>80</v>
      </c>
    </row>
    <row r="19" spans="1:14" ht="12.75">
      <c r="A19" t="str">
        <f>HYPERLINK("http://www.onsemi.com/PowerSolutions/product.do?id=2N3055AG","2N3055AG")</f>
        <v>2N3055AG</v>
      </c>
      <c r="B19" t="str">
        <f>HYPERLINK("http://www.onsemi.com/pub/Collateral/2N3055A-D.PDF","2N3055A/D (89.0kB)")</f>
        <v>2N3055A/D (89.0kB)</v>
      </c>
      <c r="C19" t="s">
        <v>19</v>
      </c>
      <c r="D19" t="s">
        <v>70</v>
      </c>
      <c r="E19" t="s">
        <v>71</v>
      </c>
      <c r="F19" t="s">
        <v>72</v>
      </c>
      <c r="G19" t="s">
        <v>73</v>
      </c>
      <c r="H19" t="s">
        <v>79</v>
      </c>
      <c r="I19" t="s">
        <v>74</v>
      </c>
      <c r="J19" t="s">
        <v>75</v>
      </c>
      <c r="K19" t="s">
        <v>76</v>
      </c>
      <c r="L19" t="s">
        <v>50</v>
      </c>
      <c r="M19" t="s">
        <v>77</v>
      </c>
      <c r="N19" t="s">
        <v>80</v>
      </c>
    </row>
    <row r="20" spans="1:14" ht="12.75">
      <c r="A20" t="str">
        <f>HYPERLINK("http://www.onsemi.com/PowerSolutions/product.do?id=2N3055G","2N3055G")</f>
        <v>2N3055G</v>
      </c>
      <c r="B20" t="str">
        <f>HYPERLINK("http://www.onsemi.com/pub/Collateral/2N3055-D.PDF","2N3055/D (70.0kB)")</f>
        <v>2N3055/D (70.0kB)</v>
      </c>
      <c r="C20" t="s">
        <v>19</v>
      </c>
      <c r="D20" t="s">
        <v>70</v>
      </c>
      <c r="E20" t="s">
        <v>71</v>
      </c>
      <c r="F20" t="s">
        <v>72</v>
      </c>
      <c r="G20" t="s">
        <v>73</v>
      </c>
      <c r="I20" t="s">
        <v>74</v>
      </c>
      <c r="J20" t="s">
        <v>75</v>
      </c>
      <c r="K20" t="s">
        <v>76</v>
      </c>
      <c r="L20" t="s">
        <v>50</v>
      </c>
      <c r="M20" t="s">
        <v>77</v>
      </c>
      <c r="N20" t="s">
        <v>78</v>
      </c>
    </row>
    <row r="21" spans="1:14" ht="12.75">
      <c r="A21" t="str">
        <f>HYPERLINK("http://www.onsemi.com/PowerSolutions/product.do?id=2N3442G","2N3442G")</f>
        <v>2N3442G</v>
      </c>
      <c r="B21" t="str">
        <f>HYPERLINK("http://www.onsemi.com/pub/Collateral/2N3442-D.PDF","2N3442/D (65.0kB)")</f>
        <v>2N3442/D (65.0kB)</v>
      </c>
      <c r="C21" t="s">
        <v>19</v>
      </c>
      <c r="D21" t="s">
        <v>70</v>
      </c>
      <c r="E21" t="s">
        <v>81</v>
      </c>
      <c r="F21" t="s">
        <v>79</v>
      </c>
      <c r="G21" t="s">
        <v>82</v>
      </c>
      <c r="H21" t="s">
        <v>32</v>
      </c>
      <c r="I21" t="s">
        <v>74</v>
      </c>
      <c r="J21" t="s">
        <v>83</v>
      </c>
      <c r="K21" t="s">
        <v>84</v>
      </c>
      <c r="L21" t="s">
        <v>50</v>
      </c>
      <c r="M21" t="s">
        <v>77</v>
      </c>
      <c r="N21" t="s">
        <v>80</v>
      </c>
    </row>
    <row r="22" spans="1:14" ht="12.75">
      <c r="A22" t="str">
        <f>HYPERLINK("http://www.onsemi.com/PowerSolutions/product.do?id=2N3771","2N3771")</f>
        <v>2N3771</v>
      </c>
      <c r="B22" t="str">
        <f>HYPERLINK("http://www.onsemi.com/pub/Collateral/2N3771-D.PDF","2N3771/D (85.0kB)")</f>
        <v>2N3771/D (85.0kB)</v>
      </c>
      <c r="C22" t="s">
        <v>69</v>
      </c>
      <c r="D22" t="s">
        <v>70</v>
      </c>
      <c r="E22" t="s">
        <v>85</v>
      </c>
      <c r="F22" t="s">
        <v>86</v>
      </c>
      <c r="G22" t="s">
        <v>41</v>
      </c>
      <c r="H22" t="s">
        <v>72</v>
      </c>
      <c r="I22" t="s">
        <v>73</v>
      </c>
      <c r="J22" t="s">
        <v>87</v>
      </c>
      <c r="K22" t="s">
        <v>88</v>
      </c>
      <c r="L22" t="s">
        <v>50</v>
      </c>
      <c r="M22" t="s">
        <v>77</v>
      </c>
      <c r="N22" t="s">
        <v>89</v>
      </c>
    </row>
    <row r="23" spans="1:14" ht="12.75">
      <c r="A23" t="str">
        <f>HYPERLINK("http://www.onsemi.com/PowerSolutions/product.do?id=2N3771G","2N3771G")</f>
        <v>2N3771G</v>
      </c>
      <c r="B23" t="str">
        <f>HYPERLINK("http://www.onsemi.com/pub/Collateral/2N3771-D.PDF","2N3771/D (85.0kB)")</f>
        <v>2N3771/D (85.0kB)</v>
      </c>
      <c r="C23" t="s">
        <v>19</v>
      </c>
      <c r="D23" t="s">
        <v>70</v>
      </c>
      <c r="E23" t="s">
        <v>85</v>
      </c>
      <c r="F23" t="s">
        <v>86</v>
      </c>
      <c r="G23" t="s">
        <v>41</v>
      </c>
      <c r="H23" t="s">
        <v>72</v>
      </c>
      <c r="I23" t="s">
        <v>73</v>
      </c>
      <c r="J23" t="s">
        <v>87</v>
      </c>
      <c r="K23" t="s">
        <v>88</v>
      </c>
      <c r="L23" t="s">
        <v>50</v>
      </c>
      <c r="M23" t="s">
        <v>77</v>
      </c>
      <c r="N23" t="s">
        <v>89</v>
      </c>
    </row>
    <row r="24" spans="1:14" ht="12.75">
      <c r="A24" t="str">
        <f>HYPERLINK("http://www.onsemi.com/PowerSolutions/product.do?id=2N3772","2N3772")</f>
        <v>2N3772</v>
      </c>
      <c r="B24" t="str">
        <f>HYPERLINK("http://www.onsemi.com/pub/Collateral/2N3771-D.PDF","2N3771/D (85.0kB)")</f>
        <v>2N3771/D (85.0kB)</v>
      </c>
      <c r="C24" t="s">
        <v>69</v>
      </c>
      <c r="D24" t="s">
        <v>70</v>
      </c>
      <c r="E24" t="s">
        <v>90</v>
      </c>
      <c r="F24" t="s">
        <v>32</v>
      </c>
      <c r="G24" t="s">
        <v>73</v>
      </c>
      <c r="H24" t="s">
        <v>72</v>
      </c>
      <c r="I24" t="s">
        <v>73</v>
      </c>
      <c r="J24" t="s">
        <v>87</v>
      </c>
      <c r="K24" t="s">
        <v>88</v>
      </c>
      <c r="L24" t="s">
        <v>50</v>
      </c>
      <c r="M24" t="s">
        <v>77</v>
      </c>
      <c r="N24" t="s">
        <v>91</v>
      </c>
    </row>
    <row r="25" spans="1:14" ht="12.75">
      <c r="A25" t="str">
        <f>HYPERLINK("http://www.onsemi.com/PowerSolutions/product.do?id=2N3772G","2N3772G")</f>
        <v>2N3772G</v>
      </c>
      <c r="B25" t="str">
        <f>HYPERLINK("http://www.onsemi.com/pub/Collateral/2N3771-D.PDF","2N3771/D (85.0kB)")</f>
        <v>2N3771/D (85.0kB)</v>
      </c>
      <c r="C25" t="s">
        <v>19</v>
      </c>
      <c r="D25" t="s">
        <v>70</v>
      </c>
      <c r="E25" t="s">
        <v>90</v>
      </c>
      <c r="F25" t="s">
        <v>32</v>
      </c>
      <c r="G25" t="s">
        <v>73</v>
      </c>
      <c r="H25" t="s">
        <v>72</v>
      </c>
      <c r="I25" t="s">
        <v>73</v>
      </c>
      <c r="J25" t="s">
        <v>87</v>
      </c>
      <c r="K25" t="s">
        <v>88</v>
      </c>
      <c r="L25" t="s">
        <v>50</v>
      </c>
      <c r="M25" t="s">
        <v>77</v>
      </c>
      <c r="N25" t="s">
        <v>91</v>
      </c>
    </row>
    <row r="26" spans="1:14" ht="12.75">
      <c r="A26" t="str">
        <f>HYPERLINK("http://www.onsemi.com/PowerSolutions/product.do?id=2N3773","2N3773")</f>
        <v>2N3773</v>
      </c>
      <c r="B26" t="str">
        <f>HYPERLINK("http://www.onsemi.com/pub/Collateral/2N3773-D.PDF","2N3773/D (93.0kB)")</f>
        <v>2N3773/D (93.0kB)</v>
      </c>
      <c r="C26" t="s">
        <v>69</v>
      </c>
      <c r="D26" t="s">
        <v>70</v>
      </c>
      <c r="E26" t="s">
        <v>92</v>
      </c>
      <c r="F26" t="s">
        <v>93</v>
      </c>
      <c r="G26" t="s">
        <v>82</v>
      </c>
      <c r="H26" t="s">
        <v>72</v>
      </c>
      <c r="I26" t="s">
        <v>73</v>
      </c>
      <c r="J26" t="s">
        <v>94</v>
      </c>
      <c r="K26" t="s">
        <v>88</v>
      </c>
      <c r="L26" t="s">
        <v>50</v>
      </c>
      <c r="M26" t="s">
        <v>77</v>
      </c>
      <c r="N26" t="s">
        <v>91</v>
      </c>
    </row>
    <row r="27" spans="1:14" ht="12.75">
      <c r="A27" t="str">
        <f>HYPERLINK("http://www.onsemi.com/PowerSolutions/product.do?id=2N3773G","2N3773G")</f>
        <v>2N3773G</v>
      </c>
      <c r="B27" t="str">
        <f>HYPERLINK("http://www.onsemi.com/pub/Collateral/2N3773-D.PDF","2N3773/D (93.0kB)")</f>
        <v>2N3773/D (93.0kB)</v>
      </c>
      <c r="C27" t="s">
        <v>19</v>
      </c>
      <c r="D27" t="s">
        <v>70</v>
      </c>
      <c r="E27" t="s">
        <v>92</v>
      </c>
      <c r="F27" t="s">
        <v>93</v>
      </c>
      <c r="G27" t="s">
        <v>82</v>
      </c>
      <c r="H27" t="s">
        <v>72</v>
      </c>
      <c r="I27" t="s">
        <v>73</v>
      </c>
      <c r="J27" t="s">
        <v>94</v>
      </c>
      <c r="K27" t="s">
        <v>88</v>
      </c>
      <c r="L27" t="s">
        <v>50</v>
      </c>
      <c r="M27" t="s">
        <v>77</v>
      </c>
      <c r="N27" t="s">
        <v>91</v>
      </c>
    </row>
    <row r="28" spans="1:14" ht="12.75">
      <c r="A28" t="str">
        <f>HYPERLINK("http://www.onsemi.com/PowerSolutions/product.do?id=2N3904","2N3904")</f>
        <v>2N3904</v>
      </c>
      <c r="B28" t="str">
        <f aca="true" t="shared" si="0" ref="B28:B36">HYPERLINK("http://www.onsemi.com/pub/Collateral/2N3903-D.PDF","2N3903/D (85.0kB)")</f>
        <v>2N3903/D (85.0kB)</v>
      </c>
      <c r="C28" t="s">
        <v>69</v>
      </c>
      <c r="D28" t="s">
        <v>70</v>
      </c>
      <c r="E28" t="s">
        <v>95</v>
      </c>
      <c r="F28" t="s">
        <v>47</v>
      </c>
      <c r="G28" t="s">
        <v>41</v>
      </c>
      <c r="H28" t="s">
        <v>23</v>
      </c>
      <c r="I28" t="s">
        <v>48</v>
      </c>
      <c r="J28" t="s">
        <v>58</v>
      </c>
      <c r="K28" t="s">
        <v>96</v>
      </c>
      <c r="L28" t="s">
        <v>50</v>
      </c>
      <c r="M28" t="s">
        <v>97</v>
      </c>
      <c r="N28" t="s">
        <v>98</v>
      </c>
    </row>
    <row r="29" spans="1:14" ht="12.75">
      <c r="A29" t="str">
        <f>HYPERLINK("http://www.onsemi.com/PowerSolutions/product.do?id=2N3904G","2N3904G")</f>
        <v>2N3904G</v>
      </c>
      <c r="B29" t="str">
        <f t="shared" si="0"/>
        <v>2N3903/D (85.0kB)</v>
      </c>
      <c r="C29" t="s">
        <v>19</v>
      </c>
      <c r="D29" t="s">
        <v>70</v>
      </c>
      <c r="E29" t="s">
        <v>95</v>
      </c>
      <c r="F29" t="s">
        <v>47</v>
      </c>
      <c r="G29" t="s">
        <v>41</v>
      </c>
      <c r="H29" t="s">
        <v>23</v>
      </c>
      <c r="I29" t="s">
        <v>48</v>
      </c>
      <c r="J29" t="s">
        <v>58</v>
      </c>
      <c r="K29" t="s">
        <v>96</v>
      </c>
      <c r="L29" t="s">
        <v>50</v>
      </c>
      <c r="M29" t="s">
        <v>97</v>
      </c>
      <c r="N29" t="s">
        <v>98</v>
      </c>
    </row>
    <row r="30" spans="1:14" ht="12.75">
      <c r="A30" t="str">
        <f>HYPERLINK("http://www.onsemi.com/PowerSolutions/product.do?id=2N3904RL1G","2N3904RL1G")</f>
        <v>2N3904RL1G</v>
      </c>
      <c r="B30" t="str">
        <f t="shared" si="0"/>
        <v>2N3903/D (85.0kB)</v>
      </c>
      <c r="C30" t="s">
        <v>19</v>
      </c>
      <c r="D30" t="s">
        <v>70</v>
      </c>
      <c r="E30" t="s">
        <v>95</v>
      </c>
      <c r="F30" t="s">
        <v>47</v>
      </c>
      <c r="G30" t="s">
        <v>41</v>
      </c>
      <c r="H30" t="s">
        <v>23</v>
      </c>
      <c r="I30" t="s">
        <v>48</v>
      </c>
      <c r="J30" t="s">
        <v>58</v>
      </c>
      <c r="K30" t="s">
        <v>96</v>
      </c>
      <c r="L30" t="s">
        <v>50</v>
      </c>
      <c r="M30" t="s">
        <v>97</v>
      </c>
      <c r="N30" t="s">
        <v>98</v>
      </c>
    </row>
    <row r="31" spans="1:14" ht="12.75">
      <c r="A31" t="str">
        <f>HYPERLINK("http://www.onsemi.com/PowerSolutions/product.do?id=2N3904RLRA","2N3904RLRA")</f>
        <v>2N3904RLRA</v>
      </c>
      <c r="B31" t="str">
        <f t="shared" si="0"/>
        <v>2N3903/D (85.0kB)</v>
      </c>
      <c r="C31" t="s">
        <v>69</v>
      </c>
      <c r="D31" t="s">
        <v>70</v>
      </c>
      <c r="E31" t="s">
        <v>95</v>
      </c>
      <c r="F31" t="s">
        <v>47</v>
      </c>
      <c r="G31" t="s">
        <v>41</v>
      </c>
      <c r="H31" t="s">
        <v>23</v>
      </c>
      <c r="I31" t="s">
        <v>48</v>
      </c>
      <c r="J31" t="s">
        <v>58</v>
      </c>
      <c r="K31" t="s">
        <v>96</v>
      </c>
      <c r="L31" t="s">
        <v>50</v>
      </c>
      <c r="M31" t="s">
        <v>97</v>
      </c>
      <c r="N31" t="s">
        <v>98</v>
      </c>
    </row>
    <row r="32" spans="1:14" ht="12.75">
      <c r="A32" t="str">
        <f>HYPERLINK("http://www.onsemi.com/PowerSolutions/product.do?id=2N3904RLRAG","2N3904RLRAG")</f>
        <v>2N3904RLRAG</v>
      </c>
      <c r="B32" t="str">
        <f t="shared" si="0"/>
        <v>2N3903/D (85.0kB)</v>
      </c>
      <c r="C32" t="s">
        <v>19</v>
      </c>
      <c r="D32" t="s">
        <v>70</v>
      </c>
      <c r="E32" t="s">
        <v>95</v>
      </c>
      <c r="F32" t="s">
        <v>47</v>
      </c>
      <c r="G32" t="s">
        <v>41</v>
      </c>
      <c r="H32" t="s">
        <v>23</v>
      </c>
      <c r="I32" t="s">
        <v>48</v>
      </c>
      <c r="J32" t="s">
        <v>58</v>
      </c>
      <c r="K32" t="s">
        <v>96</v>
      </c>
      <c r="L32" t="s">
        <v>50</v>
      </c>
      <c r="M32" t="s">
        <v>97</v>
      </c>
      <c r="N32" t="s">
        <v>98</v>
      </c>
    </row>
    <row r="33" spans="1:14" ht="12.75">
      <c r="A33" t="str">
        <f>HYPERLINK("http://www.onsemi.com/PowerSolutions/product.do?id=2N3904RLRM","2N3904RLRM")</f>
        <v>2N3904RLRM</v>
      </c>
      <c r="B33" t="str">
        <f t="shared" si="0"/>
        <v>2N3903/D (85.0kB)</v>
      </c>
      <c r="C33" t="s">
        <v>69</v>
      </c>
      <c r="D33" t="s">
        <v>70</v>
      </c>
      <c r="E33" t="s">
        <v>95</v>
      </c>
      <c r="F33" t="s">
        <v>47</v>
      </c>
      <c r="G33" t="s">
        <v>41</v>
      </c>
      <c r="H33" t="s">
        <v>23</v>
      </c>
      <c r="I33" t="s">
        <v>48</v>
      </c>
      <c r="J33" t="s">
        <v>58</v>
      </c>
      <c r="K33" t="s">
        <v>96</v>
      </c>
      <c r="L33" t="s">
        <v>50</v>
      </c>
      <c r="M33" t="s">
        <v>97</v>
      </c>
      <c r="N33" t="s">
        <v>98</v>
      </c>
    </row>
    <row r="34" spans="1:14" ht="12.75">
      <c r="A34" t="str">
        <f>HYPERLINK("http://www.onsemi.com/PowerSolutions/product.do?id=2N3904RLRMG","2N3904RLRMG")</f>
        <v>2N3904RLRMG</v>
      </c>
      <c r="B34" t="str">
        <f t="shared" si="0"/>
        <v>2N3903/D (85.0kB)</v>
      </c>
      <c r="C34" t="s">
        <v>19</v>
      </c>
      <c r="D34" t="s">
        <v>70</v>
      </c>
      <c r="E34" t="s">
        <v>95</v>
      </c>
      <c r="F34" t="s">
        <v>47</v>
      </c>
      <c r="G34" t="s">
        <v>41</v>
      </c>
      <c r="H34" t="s">
        <v>23</v>
      </c>
      <c r="I34" t="s">
        <v>48</v>
      </c>
      <c r="J34" t="s">
        <v>58</v>
      </c>
      <c r="K34" t="s">
        <v>96</v>
      </c>
      <c r="L34" t="s">
        <v>50</v>
      </c>
      <c r="M34" t="s">
        <v>97</v>
      </c>
      <c r="N34" t="s">
        <v>98</v>
      </c>
    </row>
    <row r="35" spans="1:14" ht="12.75">
      <c r="A35" t="str">
        <f>HYPERLINK("http://www.onsemi.com/PowerSolutions/product.do?id=2N3904RLRPG","2N3904RLRPG")</f>
        <v>2N3904RLRPG</v>
      </c>
      <c r="B35" t="str">
        <f t="shared" si="0"/>
        <v>2N3903/D (85.0kB)</v>
      </c>
      <c r="C35" t="s">
        <v>19</v>
      </c>
      <c r="D35" t="s">
        <v>70</v>
      </c>
      <c r="E35" t="s">
        <v>95</v>
      </c>
      <c r="F35" t="s">
        <v>47</v>
      </c>
      <c r="G35" t="s">
        <v>41</v>
      </c>
      <c r="H35" t="s">
        <v>23</v>
      </c>
      <c r="I35" t="s">
        <v>48</v>
      </c>
      <c r="J35" t="s">
        <v>58</v>
      </c>
      <c r="K35" t="s">
        <v>96</v>
      </c>
      <c r="L35" t="s">
        <v>50</v>
      </c>
      <c r="M35" t="s">
        <v>97</v>
      </c>
      <c r="N35" t="s">
        <v>98</v>
      </c>
    </row>
    <row r="36" spans="1:14" ht="12.75">
      <c r="A36" t="str">
        <f>HYPERLINK("http://www.onsemi.com/PowerSolutions/product.do?id=2N3904ZL1G","2N3904ZL1G")</f>
        <v>2N3904ZL1G</v>
      </c>
      <c r="B36" t="str">
        <f t="shared" si="0"/>
        <v>2N3903/D (85.0kB)</v>
      </c>
      <c r="C36" t="s">
        <v>19</v>
      </c>
      <c r="D36" t="s">
        <v>70</v>
      </c>
      <c r="E36" t="s">
        <v>95</v>
      </c>
      <c r="F36" t="s">
        <v>47</v>
      </c>
      <c r="G36" t="s">
        <v>41</v>
      </c>
      <c r="H36" t="s">
        <v>23</v>
      </c>
      <c r="I36" t="s">
        <v>48</v>
      </c>
      <c r="J36" t="s">
        <v>58</v>
      </c>
      <c r="K36" t="s">
        <v>96</v>
      </c>
      <c r="L36" t="s">
        <v>50</v>
      </c>
      <c r="M36" t="s">
        <v>97</v>
      </c>
      <c r="N36" t="s">
        <v>98</v>
      </c>
    </row>
    <row r="37" spans="1:14" ht="12.75">
      <c r="A37" t="str">
        <f>HYPERLINK("http://www.onsemi.com/PowerSolutions/product.do?id=2N3906","2N3906")</f>
        <v>2N3906</v>
      </c>
      <c r="B37" t="str">
        <f aca="true" t="shared" si="1" ref="B37:B43">HYPERLINK("http://www.onsemi.com/pub/Collateral/2N3906-D.PDF","2N3906/D (81.0kB)")</f>
        <v>2N3906/D (81.0kB)</v>
      </c>
      <c r="C37" t="s">
        <v>69</v>
      </c>
      <c r="D37" t="s">
        <v>70</v>
      </c>
      <c r="E37" t="s">
        <v>99</v>
      </c>
      <c r="F37" t="s">
        <v>47</v>
      </c>
      <c r="G37" t="s">
        <v>41</v>
      </c>
      <c r="H37" t="s">
        <v>23</v>
      </c>
      <c r="I37" t="s">
        <v>48</v>
      </c>
      <c r="J37" t="s">
        <v>58</v>
      </c>
      <c r="K37" t="s">
        <v>96</v>
      </c>
      <c r="L37" t="s">
        <v>59</v>
      </c>
      <c r="M37" t="s">
        <v>97</v>
      </c>
      <c r="N37" t="s">
        <v>100</v>
      </c>
    </row>
    <row r="38" spans="1:14" ht="12.75">
      <c r="A38" t="str">
        <f>HYPERLINK("http://www.onsemi.com/PowerSolutions/product.do?id=2N3906G","2N3906G")</f>
        <v>2N3906G</v>
      </c>
      <c r="B38" t="str">
        <f t="shared" si="1"/>
        <v>2N3906/D (81.0kB)</v>
      </c>
      <c r="C38" t="s">
        <v>19</v>
      </c>
      <c r="D38" t="s">
        <v>70</v>
      </c>
      <c r="E38" t="s">
        <v>99</v>
      </c>
      <c r="F38" t="s">
        <v>47</v>
      </c>
      <c r="G38" t="s">
        <v>41</v>
      </c>
      <c r="H38" t="s">
        <v>23</v>
      </c>
      <c r="I38" t="s">
        <v>48</v>
      </c>
      <c r="J38" t="s">
        <v>58</v>
      </c>
      <c r="K38" t="s">
        <v>96</v>
      </c>
      <c r="L38" t="s">
        <v>59</v>
      </c>
      <c r="M38" t="s">
        <v>97</v>
      </c>
      <c r="N38" t="s">
        <v>100</v>
      </c>
    </row>
    <row r="39" spans="1:14" ht="12.75">
      <c r="A39" t="str">
        <f>HYPERLINK("http://www.onsemi.com/PowerSolutions/product.do?id=2N3906RL1G","2N3906RL1G")</f>
        <v>2N3906RL1G</v>
      </c>
      <c r="B39" t="str">
        <f t="shared" si="1"/>
        <v>2N3906/D (81.0kB)</v>
      </c>
      <c r="C39" t="s">
        <v>19</v>
      </c>
      <c r="D39" t="s">
        <v>70</v>
      </c>
      <c r="E39" t="s">
        <v>99</v>
      </c>
      <c r="F39" t="s">
        <v>47</v>
      </c>
      <c r="G39" t="s">
        <v>41</v>
      </c>
      <c r="H39" t="s">
        <v>23</v>
      </c>
      <c r="I39" t="s">
        <v>48</v>
      </c>
      <c r="J39" t="s">
        <v>58</v>
      </c>
      <c r="K39" t="s">
        <v>96</v>
      </c>
      <c r="L39" t="s">
        <v>59</v>
      </c>
      <c r="M39" t="s">
        <v>97</v>
      </c>
      <c r="N39" t="s">
        <v>100</v>
      </c>
    </row>
    <row r="40" spans="1:14" ht="12.75">
      <c r="A40" t="str">
        <f>HYPERLINK("http://www.onsemi.com/PowerSolutions/product.do?id=2N3906RLRA","2N3906RLRA")</f>
        <v>2N3906RLRA</v>
      </c>
      <c r="B40" t="str">
        <f t="shared" si="1"/>
        <v>2N3906/D (81.0kB)</v>
      </c>
      <c r="C40" t="s">
        <v>69</v>
      </c>
      <c r="D40" t="s">
        <v>70</v>
      </c>
      <c r="E40" t="s">
        <v>99</v>
      </c>
      <c r="F40" t="s">
        <v>47</v>
      </c>
      <c r="G40" t="s">
        <v>41</v>
      </c>
      <c r="H40" t="s">
        <v>23</v>
      </c>
      <c r="I40" t="s">
        <v>48</v>
      </c>
      <c r="J40" t="s">
        <v>58</v>
      </c>
      <c r="K40" t="s">
        <v>96</v>
      </c>
      <c r="L40" t="s">
        <v>59</v>
      </c>
      <c r="M40" t="s">
        <v>97</v>
      </c>
      <c r="N40" t="s">
        <v>100</v>
      </c>
    </row>
    <row r="41" spans="1:14" ht="12.75">
      <c r="A41" t="str">
        <f>HYPERLINK("http://www.onsemi.com/PowerSolutions/product.do?id=2N3906RLRAG","2N3906RLRAG")</f>
        <v>2N3906RLRAG</v>
      </c>
      <c r="B41" t="str">
        <f t="shared" si="1"/>
        <v>2N3906/D (81.0kB)</v>
      </c>
      <c r="C41" t="s">
        <v>19</v>
      </c>
      <c r="D41" t="s">
        <v>70</v>
      </c>
      <c r="E41" t="s">
        <v>99</v>
      </c>
      <c r="F41" t="s">
        <v>47</v>
      </c>
      <c r="G41" t="s">
        <v>41</v>
      </c>
      <c r="H41" t="s">
        <v>23</v>
      </c>
      <c r="I41" t="s">
        <v>48</v>
      </c>
      <c r="J41" t="s">
        <v>58</v>
      </c>
      <c r="K41" t="s">
        <v>96</v>
      </c>
      <c r="L41" t="s">
        <v>59</v>
      </c>
      <c r="M41" t="s">
        <v>97</v>
      </c>
      <c r="N41" t="s">
        <v>100</v>
      </c>
    </row>
    <row r="42" spans="1:14" ht="12.75">
      <c r="A42" t="str">
        <f>HYPERLINK("http://www.onsemi.com/PowerSolutions/product.do?id=2N3906RLRMG","2N3906RLRMG")</f>
        <v>2N3906RLRMG</v>
      </c>
      <c r="B42" t="str">
        <f t="shared" si="1"/>
        <v>2N3906/D (81.0kB)</v>
      </c>
      <c r="C42" t="s">
        <v>19</v>
      </c>
      <c r="D42" t="s">
        <v>70</v>
      </c>
      <c r="E42" t="s">
        <v>99</v>
      </c>
      <c r="F42" t="s">
        <v>47</v>
      </c>
      <c r="G42" t="s">
        <v>41</v>
      </c>
      <c r="H42" t="s">
        <v>23</v>
      </c>
      <c r="I42" t="s">
        <v>48</v>
      </c>
      <c r="J42" t="s">
        <v>58</v>
      </c>
      <c r="K42" t="s">
        <v>96</v>
      </c>
      <c r="L42" t="s">
        <v>59</v>
      </c>
      <c r="M42" t="s">
        <v>97</v>
      </c>
      <c r="N42" t="s">
        <v>100</v>
      </c>
    </row>
    <row r="43" spans="1:14" ht="12.75">
      <c r="A43" t="str">
        <f>HYPERLINK("http://www.onsemi.com/PowerSolutions/product.do?id=2N3906RLRPG","2N3906RLRPG")</f>
        <v>2N3906RLRPG</v>
      </c>
      <c r="B43" t="str">
        <f t="shared" si="1"/>
        <v>2N3906/D (81.0kB)</v>
      </c>
      <c r="C43" t="s">
        <v>19</v>
      </c>
      <c r="D43" t="s">
        <v>70</v>
      </c>
      <c r="E43" t="s">
        <v>99</v>
      </c>
      <c r="F43" t="s">
        <v>47</v>
      </c>
      <c r="G43" t="s">
        <v>41</v>
      </c>
      <c r="H43" t="s">
        <v>23</v>
      </c>
      <c r="I43" t="s">
        <v>48</v>
      </c>
      <c r="J43" t="s">
        <v>58</v>
      </c>
      <c r="K43" t="s">
        <v>96</v>
      </c>
      <c r="L43" t="s">
        <v>59</v>
      </c>
      <c r="M43" t="s">
        <v>97</v>
      </c>
      <c r="N43" t="s">
        <v>101</v>
      </c>
    </row>
    <row r="44" spans="1:14" ht="12.75">
      <c r="A44" t="str">
        <f>HYPERLINK("http://www.onsemi.com/PowerSolutions/product.do?id=2N4124G","2N4124G")</f>
        <v>2N4124G</v>
      </c>
      <c r="B44" t="str">
        <f>HYPERLINK("http://www.onsemi.com/pub/Collateral/2N4123-D.PDF","2N4123/D (81.0kB)")</f>
        <v>2N4123/D (81.0kB)</v>
      </c>
      <c r="C44" t="s">
        <v>19</v>
      </c>
      <c r="D44" t="s">
        <v>70</v>
      </c>
      <c r="E44" t="s">
        <v>95</v>
      </c>
      <c r="F44" t="s">
        <v>47</v>
      </c>
      <c r="G44" t="s">
        <v>102</v>
      </c>
      <c r="H44" t="s">
        <v>24</v>
      </c>
      <c r="I44" t="s">
        <v>25</v>
      </c>
      <c r="J44" t="s">
        <v>48</v>
      </c>
      <c r="K44" t="s">
        <v>96</v>
      </c>
      <c r="L44" t="s">
        <v>50</v>
      </c>
      <c r="M44" t="s">
        <v>97</v>
      </c>
      <c r="N44" t="s">
        <v>103</v>
      </c>
    </row>
    <row r="45" spans="1:14" ht="12.75">
      <c r="A45" t="str">
        <f>HYPERLINK("http://www.onsemi.com/PowerSolutions/product.do?id=2N4401G","2N4401G")</f>
        <v>2N4401G</v>
      </c>
      <c r="B45" t="str">
        <f>HYPERLINK("http://www.onsemi.com/pub/Collateral/2N4401-D.PDF","2N4401/D (130.0kB)")</f>
        <v>2N4401/D (130.0kB)</v>
      </c>
      <c r="C45" t="s">
        <v>19</v>
      </c>
      <c r="D45" t="s">
        <v>70</v>
      </c>
      <c r="E45" t="s">
        <v>95</v>
      </c>
      <c r="F45" t="s">
        <v>104</v>
      </c>
      <c r="G45" t="s">
        <v>41</v>
      </c>
      <c r="H45" t="s">
        <v>23</v>
      </c>
      <c r="I45" t="s">
        <v>48</v>
      </c>
      <c r="J45" t="s">
        <v>58</v>
      </c>
      <c r="K45" t="s">
        <v>96</v>
      </c>
      <c r="L45" t="s">
        <v>50</v>
      </c>
      <c r="M45" t="s">
        <v>97</v>
      </c>
      <c r="N45" t="s">
        <v>98</v>
      </c>
    </row>
    <row r="46" spans="1:14" ht="12.75">
      <c r="A46" t="str">
        <f>HYPERLINK("http://www.onsemi.com/PowerSolutions/product.do?id=2N4401RLRA","2N4401RLRA")</f>
        <v>2N4401RLRA</v>
      </c>
      <c r="B46" t="str">
        <f>HYPERLINK("http://www.onsemi.com/pub/Collateral/2N4401-D.PDF","2N4401/D (130.0kB)")</f>
        <v>2N4401/D (130.0kB)</v>
      </c>
      <c r="C46" t="s">
        <v>69</v>
      </c>
      <c r="D46" t="s">
        <v>70</v>
      </c>
      <c r="E46" t="s">
        <v>95</v>
      </c>
      <c r="F46" t="s">
        <v>104</v>
      </c>
      <c r="G46" t="s">
        <v>41</v>
      </c>
      <c r="H46" t="s">
        <v>23</v>
      </c>
      <c r="I46" t="s">
        <v>48</v>
      </c>
      <c r="J46" t="s">
        <v>58</v>
      </c>
      <c r="K46" t="s">
        <v>96</v>
      </c>
      <c r="L46" t="s">
        <v>50</v>
      </c>
      <c r="M46" t="s">
        <v>97</v>
      </c>
      <c r="N46" t="s">
        <v>98</v>
      </c>
    </row>
    <row r="47" spans="1:14" ht="12.75">
      <c r="A47" t="str">
        <f>HYPERLINK("http://www.onsemi.com/PowerSolutions/product.do?id=2N4401RLRAG","2N4401RLRAG")</f>
        <v>2N4401RLRAG</v>
      </c>
      <c r="B47" t="str">
        <f>HYPERLINK("http://www.onsemi.com/pub/Collateral/2N4401-D.PDF","2N4401/D (130.0kB)")</f>
        <v>2N4401/D (130.0kB)</v>
      </c>
      <c r="C47" t="s">
        <v>19</v>
      </c>
      <c r="D47" t="s">
        <v>70</v>
      </c>
      <c r="E47" t="s">
        <v>95</v>
      </c>
      <c r="F47" t="s">
        <v>104</v>
      </c>
      <c r="G47" t="s">
        <v>41</v>
      </c>
      <c r="H47" t="s">
        <v>23</v>
      </c>
      <c r="I47" t="s">
        <v>48</v>
      </c>
      <c r="J47" t="s">
        <v>58</v>
      </c>
      <c r="K47" t="s">
        <v>96</v>
      </c>
      <c r="L47" t="s">
        <v>50</v>
      </c>
      <c r="M47" t="s">
        <v>97</v>
      </c>
      <c r="N47" t="s">
        <v>98</v>
      </c>
    </row>
    <row r="48" spans="1:14" ht="12.75">
      <c r="A48" t="str">
        <f>HYPERLINK("http://www.onsemi.com/PowerSolutions/product.do?id=2N4401RLRPG","2N4401RLRPG")</f>
        <v>2N4401RLRPG</v>
      </c>
      <c r="B48" t="str">
        <f>HYPERLINK("http://www.onsemi.com/pub/Collateral/2N4401-D.PDF","2N4401/D (130.0kB)")</f>
        <v>2N4401/D (130.0kB)</v>
      </c>
      <c r="C48" t="s">
        <v>19</v>
      </c>
      <c r="D48" t="s">
        <v>70</v>
      </c>
      <c r="E48" t="s">
        <v>95</v>
      </c>
      <c r="F48" t="s">
        <v>104</v>
      </c>
      <c r="G48" t="s">
        <v>41</v>
      </c>
      <c r="H48" t="s">
        <v>23</v>
      </c>
      <c r="I48" t="s">
        <v>48</v>
      </c>
      <c r="J48" t="s">
        <v>58</v>
      </c>
      <c r="K48" t="s">
        <v>96</v>
      </c>
      <c r="L48" t="s">
        <v>50</v>
      </c>
      <c r="M48" t="s">
        <v>97</v>
      </c>
      <c r="N48" t="s">
        <v>98</v>
      </c>
    </row>
    <row r="49" spans="1:14" ht="12.75">
      <c r="A49" t="str">
        <f>HYPERLINK("http://www.onsemi.com/PowerSolutions/product.do?id=2N4403G","2N4403G")</f>
        <v>2N4403G</v>
      </c>
      <c r="B49" t="str">
        <f>HYPERLINK("http://www.onsemi.com/pub/Collateral/2N4403-D.PDF","2N4403/D (118.0kB)")</f>
        <v>2N4403/D (118.0kB)</v>
      </c>
      <c r="C49" t="s">
        <v>19</v>
      </c>
      <c r="D49" t="s">
        <v>70</v>
      </c>
      <c r="E49" t="s">
        <v>99</v>
      </c>
      <c r="F49" t="s">
        <v>104</v>
      </c>
      <c r="G49" t="s">
        <v>41</v>
      </c>
      <c r="H49" t="s">
        <v>23</v>
      </c>
      <c r="I49" t="s">
        <v>48</v>
      </c>
      <c r="J49" t="s">
        <v>33</v>
      </c>
      <c r="K49" t="s">
        <v>96</v>
      </c>
      <c r="L49" t="s">
        <v>59</v>
      </c>
      <c r="M49" t="s">
        <v>97</v>
      </c>
      <c r="N49" t="s">
        <v>98</v>
      </c>
    </row>
    <row r="50" spans="1:14" ht="12.75">
      <c r="A50" t="str">
        <f>HYPERLINK("http://www.onsemi.com/PowerSolutions/product.do?id=2N4403RLRA","2N4403RLRA")</f>
        <v>2N4403RLRA</v>
      </c>
      <c r="B50" t="str">
        <f>HYPERLINK("http://www.onsemi.com/pub/Collateral/2N4403-D.PDF","2N4403/D (118.0kB)")</f>
        <v>2N4403/D (118.0kB)</v>
      </c>
      <c r="C50" t="s">
        <v>69</v>
      </c>
      <c r="D50" t="s">
        <v>70</v>
      </c>
      <c r="E50" t="s">
        <v>99</v>
      </c>
      <c r="F50" t="s">
        <v>104</v>
      </c>
      <c r="G50" t="s">
        <v>41</v>
      </c>
      <c r="H50" t="s">
        <v>23</v>
      </c>
      <c r="I50" t="s">
        <v>48</v>
      </c>
      <c r="J50" t="s">
        <v>33</v>
      </c>
      <c r="K50" t="s">
        <v>96</v>
      </c>
      <c r="L50" t="s">
        <v>59</v>
      </c>
      <c r="M50" t="s">
        <v>97</v>
      </c>
      <c r="N50" t="s">
        <v>98</v>
      </c>
    </row>
    <row r="51" spans="1:14" ht="12.75">
      <c r="A51" t="str">
        <f>HYPERLINK("http://www.onsemi.com/PowerSolutions/product.do?id=2N4403RLRAG","2N4403RLRAG")</f>
        <v>2N4403RLRAG</v>
      </c>
      <c r="B51" t="str">
        <f>HYPERLINK("http://www.onsemi.com/pub/Collateral/2N4403-D.PDF","2N4403/D (118.0kB)")</f>
        <v>2N4403/D (118.0kB)</v>
      </c>
      <c r="C51" t="s">
        <v>19</v>
      </c>
      <c r="D51" t="s">
        <v>70</v>
      </c>
      <c r="E51" t="s">
        <v>99</v>
      </c>
      <c r="F51" t="s">
        <v>104</v>
      </c>
      <c r="G51" t="s">
        <v>41</v>
      </c>
      <c r="H51" t="s">
        <v>23</v>
      </c>
      <c r="I51" t="s">
        <v>48</v>
      </c>
      <c r="J51" t="s">
        <v>33</v>
      </c>
      <c r="K51" t="s">
        <v>96</v>
      </c>
      <c r="L51" t="s">
        <v>59</v>
      </c>
      <c r="M51" t="s">
        <v>97</v>
      </c>
      <c r="N51" t="s">
        <v>98</v>
      </c>
    </row>
    <row r="52" spans="1:14" ht="12.75">
      <c r="A52" t="str">
        <f>HYPERLINK("http://www.onsemi.com/PowerSolutions/product.do?id=2N4403RLRPG","2N4403RLRPG")</f>
        <v>2N4403RLRPG</v>
      </c>
      <c r="B52" t="str">
        <f>HYPERLINK("http://www.onsemi.com/pub/Collateral/2N4403-D.PDF","2N4403/D (118.0kB)")</f>
        <v>2N4403/D (118.0kB)</v>
      </c>
      <c r="C52" t="s">
        <v>19</v>
      </c>
      <c r="D52" t="s">
        <v>70</v>
      </c>
      <c r="E52" t="s">
        <v>99</v>
      </c>
      <c r="F52" t="s">
        <v>104</v>
      </c>
      <c r="G52" t="s">
        <v>41</v>
      </c>
      <c r="H52" t="s">
        <v>23</v>
      </c>
      <c r="I52" t="s">
        <v>48</v>
      </c>
      <c r="J52" t="s">
        <v>33</v>
      </c>
      <c r="K52" t="s">
        <v>96</v>
      </c>
      <c r="L52" t="s">
        <v>59</v>
      </c>
      <c r="M52" t="s">
        <v>97</v>
      </c>
      <c r="N52" t="s">
        <v>98</v>
      </c>
    </row>
    <row r="53" spans="1:14" ht="12.75">
      <c r="A53" t="str">
        <f>HYPERLINK("http://www.onsemi.com/PowerSolutions/product.do?id=2N4918G","2N4918G")</f>
        <v>2N4918G</v>
      </c>
      <c r="B53" t="str">
        <f>HYPERLINK("http://www.onsemi.com/pub/Collateral/2N4918-D.PDF","2N4918/D (117.0kB)")</f>
        <v>2N4918/D (117.0kB)</v>
      </c>
      <c r="C53" t="s">
        <v>19</v>
      </c>
      <c r="D53" t="s">
        <v>70</v>
      </c>
      <c r="E53" t="s">
        <v>105</v>
      </c>
      <c r="F53" t="s">
        <v>31</v>
      </c>
      <c r="G53" t="s">
        <v>41</v>
      </c>
      <c r="H53" t="s">
        <v>86</v>
      </c>
      <c r="I53" t="s">
        <v>88</v>
      </c>
      <c r="J53" t="s">
        <v>22</v>
      </c>
      <c r="K53" t="s">
        <v>86</v>
      </c>
      <c r="L53" t="s">
        <v>59</v>
      </c>
      <c r="M53" t="s">
        <v>106</v>
      </c>
      <c r="N53" t="s">
        <v>107</v>
      </c>
    </row>
    <row r="54" spans="1:14" ht="12.75">
      <c r="A54" t="str">
        <f>HYPERLINK("http://www.onsemi.com/PowerSolutions/product.do?id=2N4919G","2N4919G")</f>
        <v>2N4919G</v>
      </c>
      <c r="B54" t="str">
        <f>HYPERLINK("http://www.onsemi.com/pub/Collateral/2N4918-D.PDF","2N4918/D (117.0kB)")</f>
        <v>2N4918/D (117.0kB)</v>
      </c>
      <c r="C54" t="s">
        <v>19</v>
      </c>
      <c r="D54" t="s">
        <v>70</v>
      </c>
      <c r="E54" t="s">
        <v>108</v>
      </c>
      <c r="F54" t="s">
        <v>22</v>
      </c>
      <c r="G54" t="s">
        <v>73</v>
      </c>
      <c r="H54" t="s">
        <v>86</v>
      </c>
      <c r="I54" t="s">
        <v>88</v>
      </c>
      <c r="J54" t="s">
        <v>22</v>
      </c>
      <c r="K54" t="s">
        <v>86</v>
      </c>
      <c r="L54" t="s">
        <v>59</v>
      </c>
      <c r="M54" t="s">
        <v>106</v>
      </c>
      <c r="N54" t="s">
        <v>109</v>
      </c>
    </row>
    <row r="55" spans="1:14" ht="12.75">
      <c r="A55" t="str">
        <f>HYPERLINK("http://www.onsemi.com/PowerSolutions/product.do?id=2N4920","2N4920")</f>
        <v>2N4920</v>
      </c>
      <c r="B55" t="str">
        <f>HYPERLINK("http://www.onsemi.com/pub/Collateral/2N4918-D.PDF","2N4918/D (117.0kB)")</f>
        <v>2N4918/D (117.0kB)</v>
      </c>
      <c r="C55" t="s">
        <v>69</v>
      </c>
      <c r="D55" t="s">
        <v>70</v>
      </c>
      <c r="E55" t="s">
        <v>110</v>
      </c>
      <c r="F55" t="s">
        <v>22</v>
      </c>
      <c r="G55" t="s">
        <v>111</v>
      </c>
      <c r="H55" t="s">
        <v>86</v>
      </c>
      <c r="I55" t="s">
        <v>88</v>
      </c>
      <c r="J55" t="s">
        <v>22</v>
      </c>
      <c r="K55" t="s">
        <v>86</v>
      </c>
      <c r="L55" t="s">
        <v>59</v>
      </c>
      <c r="M55" t="s">
        <v>106</v>
      </c>
      <c r="N55" t="s">
        <v>109</v>
      </c>
    </row>
    <row r="56" spans="1:14" ht="12.75">
      <c r="A56" t="str">
        <f>HYPERLINK("http://www.onsemi.com/PowerSolutions/product.do?id=2N4920G","2N4920G")</f>
        <v>2N4920G</v>
      </c>
      <c r="B56" t="str">
        <f>HYPERLINK("http://www.onsemi.com/pub/Collateral/2N4918-D.PDF","2N4918/D (117.0kB)")</f>
        <v>2N4918/D (117.0kB)</v>
      </c>
      <c r="C56" t="s">
        <v>19</v>
      </c>
      <c r="D56" t="s">
        <v>70</v>
      </c>
      <c r="E56" t="s">
        <v>110</v>
      </c>
      <c r="F56" t="s">
        <v>22</v>
      </c>
      <c r="G56" t="s">
        <v>111</v>
      </c>
      <c r="H56" t="s">
        <v>86</v>
      </c>
      <c r="I56" t="s">
        <v>88</v>
      </c>
      <c r="J56" t="s">
        <v>22</v>
      </c>
      <c r="K56" t="s">
        <v>86</v>
      </c>
      <c r="L56" t="s">
        <v>59</v>
      </c>
      <c r="M56" t="s">
        <v>106</v>
      </c>
      <c r="N56" t="s">
        <v>109</v>
      </c>
    </row>
    <row r="57" spans="1:14" ht="12.75">
      <c r="A57" t="str">
        <f>HYPERLINK("http://www.onsemi.com/PowerSolutions/product.do?id=2N4921G","2N4921G")</f>
        <v>2N4921G</v>
      </c>
      <c r="B57" t="str">
        <f>HYPERLINK("http://www.onsemi.com/pub/Collateral/2N4921-D.PDF","2N4921/D (90.0kB)")</f>
        <v>2N4921/D (90.0kB)</v>
      </c>
      <c r="C57" t="s">
        <v>19</v>
      </c>
      <c r="D57" t="s">
        <v>70</v>
      </c>
      <c r="E57" t="s">
        <v>112</v>
      </c>
      <c r="F57" t="s">
        <v>22</v>
      </c>
      <c r="G57" t="s">
        <v>41</v>
      </c>
      <c r="H57" t="s">
        <v>86</v>
      </c>
      <c r="I57" t="s">
        <v>88</v>
      </c>
      <c r="J57" t="s">
        <v>22</v>
      </c>
      <c r="K57" t="s">
        <v>86</v>
      </c>
      <c r="L57" t="s">
        <v>50</v>
      </c>
      <c r="M57" t="s">
        <v>106</v>
      </c>
      <c r="N57" t="s">
        <v>113</v>
      </c>
    </row>
    <row r="58" spans="1:14" ht="12.75">
      <c r="A58" t="str">
        <f>HYPERLINK("http://www.onsemi.com/PowerSolutions/product.do?id=2N4922","2N4922")</f>
        <v>2N4922</v>
      </c>
      <c r="B58" t="str">
        <f>HYPERLINK("http://www.onsemi.com/pub/Collateral/2N4921-D.PDF","2N4921/D (90.0kB)")</f>
        <v>2N4921/D (90.0kB)</v>
      </c>
      <c r="C58" t="s">
        <v>69</v>
      </c>
      <c r="D58" t="s">
        <v>70</v>
      </c>
      <c r="E58" t="s">
        <v>114</v>
      </c>
      <c r="F58" t="s">
        <v>22</v>
      </c>
      <c r="G58" t="s">
        <v>73</v>
      </c>
      <c r="H58" t="s">
        <v>86</v>
      </c>
      <c r="I58" t="s">
        <v>88</v>
      </c>
      <c r="J58" t="s">
        <v>22</v>
      </c>
      <c r="K58" t="s">
        <v>86</v>
      </c>
      <c r="L58" t="s">
        <v>50</v>
      </c>
      <c r="M58" t="s">
        <v>106</v>
      </c>
      <c r="N58" t="s">
        <v>113</v>
      </c>
    </row>
    <row r="59" spans="1:14" ht="12.75">
      <c r="A59" t="str">
        <f>HYPERLINK("http://www.onsemi.com/PowerSolutions/product.do?id=2N4922G","2N4922G")</f>
        <v>2N4922G</v>
      </c>
      <c r="B59" t="str">
        <f>HYPERLINK("http://www.onsemi.com/pub/Collateral/2N4921-D.PDF","2N4921/D (90.0kB)")</f>
        <v>2N4921/D (90.0kB)</v>
      </c>
      <c r="C59" t="s">
        <v>19</v>
      </c>
      <c r="D59" t="s">
        <v>70</v>
      </c>
      <c r="E59" t="s">
        <v>114</v>
      </c>
      <c r="F59" t="s">
        <v>22</v>
      </c>
      <c r="G59" t="s">
        <v>73</v>
      </c>
      <c r="H59" t="s">
        <v>86</v>
      </c>
      <c r="I59" t="s">
        <v>88</v>
      </c>
      <c r="J59" t="s">
        <v>22</v>
      </c>
      <c r="K59" t="s">
        <v>86</v>
      </c>
      <c r="L59" t="s">
        <v>50</v>
      </c>
      <c r="M59" t="s">
        <v>106</v>
      </c>
      <c r="N59" t="s">
        <v>113</v>
      </c>
    </row>
    <row r="60" spans="1:14" ht="12.75">
      <c r="A60" t="str">
        <f>HYPERLINK("http://www.onsemi.com/PowerSolutions/product.do?id=2N4923G","2N4923G")</f>
        <v>2N4923G</v>
      </c>
      <c r="B60" t="str">
        <f>HYPERLINK("http://www.onsemi.com/pub/Collateral/2N4921-D.PDF","2N4921/D (90.0kB)")</f>
        <v>2N4921/D (90.0kB)</v>
      </c>
      <c r="C60" t="s">
        <v>19</v>
      </c>
      <c r="D60" t="s">
        <v>70</v>
      </c>
      <c r="E60" t="s">
        <v>115</v>
      </c>
      <c r="F60" t="s">
        <v>22</v>
      </c>
      <c r="G60" t="s">
        <v>111</v>
      </c>
      <c r="H60" t="s">
        <v>86</v>
      </c>
      <c r="I60" t="s">
        <v>88</v>
      </c>
      <c r="J60" t="s">
        <v>22</v>
      </c>
      <c r="K60" t="s">
        <v>86</v>
      </c>
      <c r="L60" t="s">
        <v>50</v>
      </c>
      <c r="M60" t="s">
        <v>106</v>
      </c>
      <c r="N60" t="s">
        <v>113</v>
      </c>
    </row>
    <row r="61" spans="1:14" ht="12.75">
      <c r="A61" t="str">
        <f>HYPERLINK("http://www.onsemi.com/PowerSolutions/product.do?id=2N5038","2N5038")</f>
        <v>2N5038</v>
      </c>
      <c r="B61" t="str">
        <f>HYPERLINK("http://www.onsemi.com/pub/Collateral/2N5038-D.PDF","2N5038/D (79.0kB)")</f>
        <v>2N5038/D (79.0kB)</v>
      </c>
      <c r="C61" t="s">
        <v>69</v>
      </c>
      <c r="D61" t="s">
        <v>70</v>
      </c>
      <c r="E61" t="s">
        <v>116</v>
      </c>
      <c r="F61" t="s">
        <v>32</v>
      </c>
      <c r="G61" t="s">
        <v>117</v>
      </c>
      <c r="H61" t="s">
        <v>32</v>
      </c>
      <c r="I61" t="s">
        <v>23</v>
      </c>
      <c r="J61" t="s">
        <v>73</v>
      </c>
      <c r="K61" t="s">
        <v>82</v>
      </c>
      <c r="L61" t="s">
        <v>50</v>
      </c>
      <c r="M61" t="s">
        <v>77</v>
      </c>
      <c r="N61" t="s">
        <v>118</v>
      </c>
    </row>
    <row r="62" spans="1:14" ht="12.75">
      <c r="A62" t="str">
        <f>HYPERLINK("http://www.onsemi.com/PowerSolutions/product.do?id=2N5038G","2N5038G")</f>
        <v>2N5038G</v>
      </c>
      <c r="B62" t="str">
        <f>HYPERLINK("http://www.onsemi.com/pub/Collateral/2N5038-D.PDF","2N5038/D (79.0kB)")</f>
        <v>2N5038/D (79.0kB)</v>
      </c>
      <c r="C62" t="s">
        <v>19</v>
      </c>
      <c r="D62" t="s">
        <v>70</v>
      </c>
      <c r="E62" t="s">
        <v>116</v>
      </c>
      <c r="F62" t="s">
        <v>32</v>
      </c>
      <c r="G62" t="s">
        <v>117</v>
      </c>
      <c r="H62" t="s">
        <v>32</v>
      </c>
      <c r="I62" t="s">
        <v>23</v>
      </c>
      <c r="J62" t="s">
        <v>73</v>
      </c>
      <c r="K62" t="s">
        <v>82</v>
      </c>
      <c r="L62" t="s">
        <v>50</v>
      </c>
      <c r="M62" t="s">
        <v>77</v>
      </c>
      <c r="N62" t="s">
        <v>118</v>
      </c>
    </row>
    <row r="63" spans="1:14" ht="12.75">
      <c r="A63" t="str">
        <f>HYPERLINK("http://www.onsemi.com/PowerSolutions/product.do?id=2N5087G","2N5087G")</f>
        <v>2N5087G</v>
      </c>
      <c r="B63" t="str">
        <f>HYPERLINK("http://www.onsemi.com/pub/Collateral/2N5087-D.PDF","2N5087/D (155.0kB)")</f>
        <v>2N5087/D (155.0kB)</v>
      </c>
      <c r="C63" t="s">
        <v>19</v>
      </c>
      <c r="D63" t="s">
        <v>70</v>
      </c>
      <c r="E63" t="s">
        <v>99</v>
      </c>
      <c r="F63" t="s">
        <v>119</v>
      </c>
      <c r="G63" t="s">
        <v>120</v>
      </c>
      <c r="H63" t="s">
        <v>58</v>
      </c>
      <c r="I63" t="s">
        <v>121</v>
      </c>
      <c r="J63" t="s">
        <v>41</v>
      </c>
      <c r="K63" t="s">
        <v>96</v>
      </c>
      <c r="L63" t="s">
        <v>59</v>
      </c>
      <c r="M63" t="s">
        <v>97</v>
      </c>
      <c r="N63" t="s">
        <v>100</v>
      </c>
    </row>
    <row r="64" spans="1:14" ht="12.75">
      <c r="A64" t="str">
        <f>HYPERLINK("http://www.onsemi.com/PowerSolutions/product.do?id=2N5087RLRAG","2N5087RLRAG")</f>
        <v>2N5087RLRAG</v>
      </c>
      <c r="B64" t="str">
        <f>HYPERLINK("http://www.onsemi.com/pub/Collateral/2N5087-D.PDF","2N5087/D (155.0kB)")</f>
        <v>2N5087/D (155.0kB)</v>
      </c>
      <c r="C64" t="s">
        <v>19</v>
      </c>
      <c r="D64" t="s">
        <v>70</v>
      </c>
      <c r="E64" t="s">
        <v>99</v>
      </c>
      <c r="F64" t="s">
        <v>119</v>
      </c>
      <c r="G64" t="s">
        <v>120</v>
      </c>
      <c r="H64" t="s">
        <v>58</v>
      </c>
      <c r="I64" t="s">
        <v>121</v>
      </c>
      <c r="J64" t="s">
        <v>41</v>
      </c>
      <c r="K64" t="s">
        <v>96</v>
      </c>
      <c r="L64" t="s">
        <v>59</v>
      </c>
      <c r="M64" t="s">
        <v>97</v>
      </c>
      <c r="N64" t="s">
        <v>122</v>
      </c>
    </row>
    <row r="65" spans="1:14" ht="12.75">
      <c r="A65" t="str">
        <f>HYPERLINK("http://www.onsemi.com/PowerSolutions/product.do?id=2N5088G","2N5088G")</f>
        <v>2N5088G</v>
      </c>
      <c r="B65" t="str">
        <f>HYPERLINK("http://www.onsemi.com/pub/Collateral/2N5088-D.PDF","2N5088/D (83.0kB)")</f>
        <v>2N5088/D (83.0kB)</v>
      </c>
      <c r="C65" t="s">
        <v>19</v>
      </c>
      <c r="D65" t="s">
        <v>70</v>
      </c>
      <c r="E65" t="s">
        <v>95</v>
      </c>
      <c r="F65" t="s">
        <v>119</v>
      </c>
      <c r="G65" t="s">
        <v>86</v>
      </c>
      <c r="H65" t="s">
        <v>48</v>
      </c>
      <c r="I65" t="s">
        <v>123</v>
      </c>
      <c r="J65" t="s">
        <v>120</v>
      </c>
      <c r="K65" t="s">
        <v>96</v>
      </c>
      <c r="L65" t="s">
        <v>50</v>
      </c>
      <c r="M65" t="s">
        <v>97</v>
      </c>
      <c r="N65" t="s">
        <v>124</v>
      </c>
    </row>
    <row r="66" spans="1:14" ht="12.75">
      <c r="A66" t="str">
        <f>HYPERLINK("http://www.onsemi.com/PowerSolutions/product.do?id=2N5089G","2N5089G")</f>
        <v>2N5089G</v>
      </c>
      <c r="B66" t="str">
        <f>HYPERLINK("http://www.onsemi.com/pub/Collateral/2N5088-D.PDF","2N5088/D (83.0kB)")</f>
        <v>2N5088/D (83.0kB)</v>
      </c>
      <c r="C66" t="s">
        <v>19</v>
      </c>
      <c r="D66" t="s">
        <v>70</v>
      </c>
      <c r="E66" t="s">
        <v>95</v>
      </c>
      <c r="F66" t="s">
        <v>119</v>
      </c>
      <c r="G66" t="s">
        <v>102</v>
      </c>
      <c r="H66" t="s">
        <v>125</v>
      </c>
      <c r="I66" t="s">
        <v>126</v>
      </c>
      <c r="J66" t="s">
        <v>120</v>
      </c>
      <c r="K66" t="s">
        <v>96</v>
      </c>
      <c r="L66" t="s">
        <v>50</v>
      </c>
      <c r="M66" t="s">
        <v>97</v>
      </c>
      <c r="N66" t="s">
        <v>124</v>
      </c>
    </row>
    <row r="67" spans="1:14" ht="12.75">
      <c r="A67" t="str">
        <f>HYPERLINK("http://www.onsemi.com/PowerSolutions/product.do?id=2N5089RLRE","2N5089RLRE")</f>
        <v>2N5089RLRE</v>
      </c>
      <c r="B67" t="str">
        <f>HYPERLINK("http://www.onsemi.com/pub/Collateral/2N5088-D.PDF","2N5088/D (83.0kB)")</f>
        <v>2N5088/D (83.0kB)</v>
      </c>
      <c r="C67" t="s">
        <v>69</v>
      </c>
      <c r="D67" t="s">
        <v>70</v>
      </c>
      <c r="E67" t="s">
        <v>95</v>
      </c>
      <c r="F67" t="s">
        <v>119</v>
      </c>
      <c r="G67" t="s">
        <v>102</v>
      </c>
      <c r="H67" t="s">
        <v>125</v>
      </c>
      <c r="I67" t="s">
        <v>126</v>
      </c>
      <c r="J67" t="s">
        <v>120</v>
      </c>
      <c r="K67" t="s">
        <v>96</v>
      </c>
      <c r="L67" t="s">
        <v>50</v>
      </c>
      <c r="M67" t="s">
        <v>97</v>
      </c>
      <c r="N67" t="s">
        <v>124</v>
      </c>
    </row>
    <row r="68" spans="1:14" ht="12.75">
      <c r="A68" t="str">
        <f>HYPERLINK("http://www.onsemi.com/PowerSolutions/product.do?id=2N5190G","2N5190G")</f>
        <v>2N5190G</v>
      </c>
      <c r="B68" t="str">
        <f>HYPERLINK("http://www.onsemi.com/pub/Collateral/2N5191-D.PDF","2N5191/D (84.0kB)")</f>
        <v>2N5191/D (84.0kB)</v>
      </c>
      <c r="C68" t="s">
        <v>19</v>
      </c>
      <c r="D68" t="s">
        <v>70</v>
      </c>
      <c r="E68" t="s">
        <v>127</v>
      </c>
      <c r="F68" t="s">
        <v>94</v>
      </c>
      <c r="G68" t="s">
        <v>41</v>
      </c>
      <c r="I68" t="s">
        <v>23</v>
      </c>
      <c r="J68" t="s">
        <v>26</v>
      </c>
      <c r="K68" t="s">
        <v>41</v>
      </c>
      <c r="L68" t="s">
        <v>50</v>
      </c>
      <c r="M68" t="s">
        <v>106</v>
      </c>
      <c r="N68" t="s">
        <v>128</v>
      </c>
    </row>
    <row r="69" spans="1:14" ht="12.75">
      <c r="A69" t="str">
        <f>HYPERLINK("http://www.onsemi.com/PowerSolutions/product.do?id=2N5191","2N5191")</f>
        <v>2N5191</v>
      </c>
      <c r="B69" t="str">
        <f>HYPERLINK("http://www.onsemi.com/pub/Collateral/2N5191-D.PDF","2N5191/D (84.0kB)")</f>
        <v>2N5191/D (84.0kB)</v>
      </c>
      <c r="C69" t="s">
        <v>69</v>
      </c>
      <c r="D69" t="s">
        <v>70</v>
      </c>
      <c r="E69" t="s">
        <v>129</v>
      </c>
      <c r="F69" t="s">
        <v>94</v>
      </c>
      <c r="G69" t="s">
        <v>73</v>
      </c>
      <c r="H69" t="s">
        <v>102</v>
      </c>
      <c r="I69" t="s">
        <v>23</v>
      </c>
      <c r="J69" t="s">
        <v>26</v>
      </c>
      <c r="K69" t="s">
        <v>41</v>
      </c>
      <c r="L69" t="s">
        <v>50</v>
      </c>
      <c r="M69" t="s">
        <v>106</v>
      </c>
      <c r="N69" t="s">
        <v>128</v>
      </c>
    </row>
    <row r="70" spans="1:14" ht="12.75">
      <c r="A70" t="str">
        <f>HYPERLINK("http://www.onsemi.com/PowerSolutions/product.do?id=2N5191G","2N5191G")</f>
        <v>2N5191G</v>
      </c>
      <c r="B70" t="str">
        <f>HYPERLINK("http://www.onsemi.com/pub/Collateral/2N5191-D.PDF","2N5191/D (84.0kB)")</f>
        <v>2N5191/D (84.0kB)</v>
      </c>
      <c r="C70" t="s">
        <v>19</v>
      </c>
      <c r="D70" t="s">
        <v>70</v>
      </c>
      <c r="E70" t="s">
        <v>129</v>
      </c>
      <c r="F70" t="s">
        <v>94</v>
      </c>
      <c r="G70" t="s">
        <v>73</v>
      </c>
      <c r="H70" t="s">
        <v>102</v>
      </c>
      <c r="I70" t="s">
        <v>23</v>
      </c>
      <c r="J70" t="s">
        <v>26</v>
      </c>
      <c r="K70" t="s">
        <v>41</v>
      </c>
      <c r="L70" t="s">
        <v>50</v>
      </c>
      <c r="M70" t="s">
        <v>106</v>
      </c>
      <c r="N70" t="s">
        <v>128</v>
      </c>
    </row>
    <row r="71" spans="1:14" ht="12.75">
      <c r="A71" t="str">
        <f>HYPERLINK("http://www.onsemi.com/PowerSolutions/product.do?id=2N5192","2N5192")</f>
        <v>2N5192</v>
      </c>
      <c r="B71" t="str">
        <f>HYPERLINK("http://www.onsemi.com/pub/Collateral/2N5191-D.PDF","2N5191/D (84.0kB)")</f>
        <v>2N5191/D (84.0kB)</v>
      </c>
      <c r="C71" t="s">
        <v>69</v>
      </c>
      <c r="D71" t="s">
        <v>70</v>
      </c>
      <c r="E71" t="s">
        <v>130</v>
      </c>
      <c r="F71" t="s">
        <v>94</v>
      </c>
      <c r="G71" t="s">
        <v>111</v>
      </c>
      <c r="H71" t="s">
        <v>32</v>
      </c>
      <c r="I71" t="s">
        <v>111</v>
      </c>
      <c r="J71" t="s">
        <v>26</v>
      </c>
      <c r="K71" t="s">
        <v>41</v>
      </c>
      <c r="L71" t="s">
        <v>50</v>
      </c>
      <c r="M71" t="s">
        <v>106</v>
      </c>
      <c r="N71" t="s">
        <v>128</v>
      </c>
    </row>
    <row r="72" spans="1:14" ht="12.75">
      <c r="A72" t="str">
        <f>HYPERLINK("http://www.onsemi.com/PowerSolutions/product.do?id=2N5192G","2N5192G")</f>
        <v>2N5192G</v>
      </c>
      <c r="B72" t="str">
        <f>HYPERLINK("http://www.onsemi.com/pub/Collateral/2N5191-D.PDF","2N5191/D (84.0kB)")</f>
        <v>2N5191/D (84.0kB)</v>
      </c>
      <c r="C72" t="s">
        <v>19</v>
      </c>
      <c r="D72" t="s">
        <v>70</v>
      </c>
      <c r="E72" t="s">
        <v>130</v>
      </c>
      <c r="F72" t="s">
        <v>94</v>
      </c>
      <c r="G72" t="s">
        <v>111</v>
      </c>
      <c r="H72" t="s">
        <v>32</v>
      </c>
      <c r="I72" t="s">
        <v>111</v>
      </c>
      <c r="J72" t="s">
        <v>26</v>
      </c>
      <c r="K72" t="s">
        <v>41</v>
      </c>
      <c r="L72" t="s">
        <v>50</v>
      </c>
      <c r="M72" t="s">
        <v>106</v>
      </c>
      <c r="N72" t="s">
        <v>128</v>
      </c>
    </row>
    <row r="73" spans="1:14" ht="12.75">
      <c r="A73" t="str">
        <f>HYPERLINK("http://www.onsemi.com/PowerSolutions/product.do?id=2N5194","2N5194")</f>
        <v>2N5194</v>
      </c>
      <c r="B73" t="str">
        <f>HYPERLINK("http://www.onsemi.com/pub/Collateral/2N5194-D.PDF","2N5194/D (86.0kB)")</f>
        <v>2N5194/D (86.0kB)</v>
      </c>
      <c r="C73" t="s">
        <v>69</v>
      </c>
      <c r="D73" t="s">
        <v>70</v>
      </c>
      <c r="E73" t="s">
        <v>131</v>
      </c>
      <c r="F73" t="s">
        <v>94</v>
      </c>
      <c r="G73" t="s">
        <v>73</v>
      </c>
      <c r="H73" t="s">
        <v>102</v>
      </c>
      <c r="I73" t="s">
        <v>23</v>
      </c>
      <c r="J73" t="s">
        <v>26</v>
      </c>
      <c r="K73" t="s">
        <v>41</v>
      </c>
      <c r="L73" t="s">
        <v>59</v>
      </c>
      <c r="M73" t="s">
        <v>106</v>
      </c>
      <c r="N73" t="s">
        <v>109</v>
      </c>
    </row>
    <row r="74" spans="1:14" ht="12.75">
      <c r="A74" t="str">
        <f>HYPERLINK("http://www.onsemi.com/PowerSolutions/product.do?id=2N5194G","2N5194G")</f>
        <v>2N5194G</v>
      </c>
      <c r="B74" t="str">
        <f>HYPERLINK("http://www.onsemi.com/pub/Collateral/2N5194-D.PDF","2N5194/D (86.0kB)")</f>
        <v>2N5194/D (86.0kB)</v>
      </c>
      <c r="C74" t="s">
        <v>19</v>
      </c>
      <c r="D74" t="s">
        <v>70</v>
      </c>
      <c r="E74" t="s">
        <v>131</v>
      </c>
      <c r="F74" t="s">
        <v>94</v>
      </c>
      <c r="G74" t="s">
        <v>73</v>
      </c>
      <c r="H74" t="s">
        <v>102</v>
      </c>
      <c r="I74" t="s">
        <v>23</v>
      </c>
      <c r="J74" t="s">
        <v>26</v>
      </c>
      <c r="K74" t="s">
        <v>41</v>
      </c>
      <c r="L74" t="s">
        <v>59</v>
      </c>
      <c r="M74" t="s">
        <v>106</v>
      </c>
      <c r="N74" t="s">
        <v>109</v>
      </c>
    </row>
    <row r="75" spans="1:14" ht="12.75">
      <c r="A75" t="str">
        <f>HYPERLINK("http://www.onsemi.com/PowerSolutions/product.do?id=2N5195","2N5195")</f>
        <v>2N5195</v>
      </c>
      <c r="B75" t="str">
        <f>HYPERLINK("http://www.onsemi.com/pub/Collateral/2N5194-D.PDF","2N5194/D (86.0kB)")</f>
        <v>2N5194/D (86.0kB)</v>
      </c>
      <c r="C75" t="s">
        <v>69</v>
      </c>
      <c r="D75" t="s">
        <v>70</v>
      </c>
      <c r="E75" t="s">
        <v>132</v>
      </c>
      <c r="F75" t="s">
        <v>94</v>
      </c>
      <c r="G75" t="s">
        <v>111</v>
      </c>
      <c r="H75" t="s">
        <v>32</v>
      </c>
      <c r="I75" t="s">
        <v>111</v>
      </c>
      <c r="J75" t="s">
        <v>26</v>
      </c>
      <c r="K75" t="s">
        <v>41</v>
      </c>
      <c r="L75" t="s">
        <v>59</v>
      </c>
      <c r="M75" t="s">
        <v>106</v>
      </c>
      <c r="N75" t="s">
        <v>109</v>
      </c>
    </row>
    <row r="76" spans="1:14" ht="12.75">
      <c r="A76" t="str">
        <f>HYPERLINK("http://www.onsemi.com/PowerSolutions/product.do?id=2N5195G","2N5195G")</f>
        <v>2N5195G</v>
      </c>
      <c r="B76" t="str">
        <f>HYPERLINK("http://www.onsemi.com/pub/Collateral/2N5194-D.PDF","2N5194/D (86.0kB)")</f>
        <v>2N5194/D (86.0kB)</v>
      </c>
      <c r="C76" t="s">
        <v>19</v>
      </c>
      <c r="D76" t="s">
        <v>70</v>
      </c>
      <c r="E76" t="s">
        <v>132</v>
      </c>
      <c r="F76" t="s">
        <v>94</v>
      </c>
      <c r="G76" t="s">
        <v>111</v>
      </c>
      <c r="H76" t="s">
        <v>32</v>
      </c>
      <c r="I76" t="s">
        <v>111</v>
      </c>
      <c r="J76" t="s">
        <v>26</v>
      </c>
      <c r="K76" t="s">
        <v>41</v>
      </c>
      <c r="L76" t="s">
        <v>59</v>
      </c>
      <c r="M76" t="s">
        <v>106</v>
      </c>
      <c r="N76" t="s">
        <v>109</v>
      </c>
    </row>
    <row r="77" spans="1:14" ht="12.75">
      <c r="A77" t="str">
        <f>HYPERLINK("http://www.onsemi.com/PowerSolutions/product.do?id=2N5302","2N5302")</f>
        <v>2N5302</v>
      </c>
      <c r="B77" t="str">
        <f>HYPERLINK("http://www.onsemi.com/pub/Collateral/2N5302-D.PDF","2N5302/D (92.0kB)")</f>
        <v>2N5302/D (92.0kB)</v>
      </c>
      <c r="C77" t="s">
        <v>69</v>
      </c>
      <c r="D77" t="s">
        <v>70</v>
      </c>
      <c r="E77" t="s">
        <v>133</v>
      </c>
      <c r="F77" t="s">
        <v>86</v>
      </c>
      <c r="G77" t="s">
        <v>73</v>
      </c>
      <c r="H77" t="s">
        <v>72</v>
      </c>
      <c r="I77" t="s">
        <v>73</v>
      </c>
      <c r="J77" t="s">
        <v>26</v>
      </c>
      <c r="K77" t="s">
        <v>33</v>
      </c>
      <c r="L77" t="s">
        <v>50</v>
      </c>
      <c r="M77" t="s">
        <v>77</v>
      </c>
      <c r="N77" t="s">
        <v>89</v>
      </c>
    </row>
    <row r="78" spans="1:14" ht="12.75">
      <c r="A78" t="str">
        <f>HYPERLINK("http://www.onsemi.com/PowerSolutions/product.do?id=2N5302G","2N5302G")</f>
        <v>2N5302G</v>
      </c>
      <c r="B78" t="str">
        <f>HYPERLINK("http://www.onsemi.com/pub/Collateral/2N5302-D.PDF","2N5302/D (92.0kB)")</f>
        <v>2N5302/D (92.0kB)</v>
      </c>
      <c r="C78" t="s">
        <v>19</v>
      </c>
      <c r="D78" t="s">
        <v>70</v>
      </c>
      <c r="E78" t="s">
        <v>133</v>
      </c>
      <c r="F78" t="s">
        <v>86</v>
      </c>
      <c r="G78" t="s">
        <v>73</v>
      </c>
      <c r="H78" t="s">
        <v>72</v>
      </c>
      <c r="I78" t="s">
        <v>73</v>
      </c>
      <c r="J78" t="s">
        <v>26</v>
      </c>
      <c r="K78" t="s">
        <v>33</v>
      </c>
      <c r="L78" t="s">
        <v>50</v>
      </c>
      <c r="M78" t="s">
        <v>77</v>
      </c>
      <c r="N78" t="s">
        <v>89</v>
      </c>
    </row>
    <row r="79" spans="1:14" ht="12.75">
      <c r="A79" t="str">
        <f>HYPERLINK("http://www.onsemi.com/PowerSolutions/product.do?id=2N5401G","2N5401G")</f>
        <v>2N5401G</v>
      </c>
      <c r="B79" t="str">
        <f>HYPERLINK("http://www.onsemi.com/pub/Collateral/2N5401-D.PDF","2N5401/D (86.0kB)")</f>
        <v>2N5401/D (86.0kB)</v>
      </c>
      <c r="C79" t="s">
        <v>19</v>
      </c>
      <c r="D79" t="s">
        <v>70</v>
      </c>
      <c r="E79" t="s">
        <v>134</v>
      </c>
      <c r="F79" t="s">
        <v>135</v>
      </c>
      <c r="G79" t="s">
        <v>88</v>
      </c>
      <c r="H79" t="s">
        <v>73</v>
      </c>
      <c r="I79" t="s">
        <v>136</v>
      </c>
      <c r="J79" t="s">
        <v>23</v>
      </c>
      <c r="K79" t="s">
        <v>96</v>
      </c>
      <c r="L79" t="s">
        <v>59</v>
      </c>
      <c r="M79" t="s">
        <v>97</v>
      </c>
      <c r="N79" t="s">
        <v>124</v>
      </c>
    </row>
    <row r="80" spans="1:14" ht="12.75">
      <c r="A80" t="str">
        <f>HYPERLINK("http://www.onsemi.com/PowerSolutions/product.do?id=2N5401RLRAG","2N5401RLRAG")</f>
        <v>2N5401RLRAG</v>
      </c>
      <c r="B80" t="str">
        <f>HYPERLINK("http://www.onsemi.com/pub/Collateral/2N5401-D.PDF","2N5401/D (86.0kB)")</f>
        <v>2N5401/D (86.0kB)</v>
      </c>
      <c r="C80" t="s">
        <v>19</v>
      </c>
      <c r="D80" t="s">
        <v>70</v>
      </c>
      <c r="E80" t="s">
        <v>134</v>
      </c>
      <c r="F80" t="s">
        <v>135</v>
      </c>
      <c r="G80" t="s">
        <v>88</v>
      </c>
      <c r="H80" t="s">
        <v>73</v>
      </c>
      <c r="I80" t="s">
        <v>136</v>
      </c>
      <c r="J80" t="s">
        <v>23</v>
      </c>
      <c r="K80" t="s">
        <v>96</v>
      </c>
      <c r="L80" t="s">
        <v>59</v>
      </c>
      <c r="M80" t="s">
        <v>97</v>
      </c>
      <c r="N80" t="s">
        <v>124</v>
      </c>
    </row>
    <row r="81" spans="1:14" ht="12.75">
      <c r="A81" t="str">
        <f>HYPERLINK("http://www.onsemi.com/PowerSolutions/product.do?id=2N5550G","2N5550G")</f>
        <v>2N5550G</v>
      </c>
      <c r="B81" t="str">
        <f aca="true" t="shared" si="2" ref="B81:B87">HYPERLINK("http://www.onsemi.com/pub/Collateral/2N5550-D.PDF","2N5550/D (88.0kB)")</f>
        <v>2N5550/D (88.0kB)</v>
      </c>
      <c r="C81" t="s">
        <v>19</v>
      </c>
      <c r="D81" t="s">
        <v>70</v>
      </c>
      <c r="E81" t="s">
        <v>137</v>
      </c>
      <c r="F81" t="s">
        <v>104</v>
      </c>
      <c r="G81" t="s">
        <v>82</v>
      </c>
      <c r="H81" t="s">
        <v>73</v>
      </c>
      <c r="I81" t="s">
        <v>58</v>
      </c>
      <c r="J81" t="s">
        <v>23</v>
      </c>
      <c r="K81" t="s">
        <v>96</v>
      </c>
      <c r="L81" t="s">
        <v>50</v>
      </c>
      <c r="M81" t="s">
        <v>97</v>
      </c>
      <c r="N81" t="s">
        <v>124</v>
      </c>
    </row>
    <row r="82" spans="1:14" ht="12.75">
      <c r="A82" t="str">
        <f>HYPERLINK("http://www.onsemi.com/PowerSolutions/product.do?id=2N5550RLRPG","2N5550RLRPG")</f>
        <v>2N5550RLRPG</v>
      </c>
      <c r="B82" t="str">
        <f t="shared" si="2"/>
        <v>2N5550/D (88.0kB)</v>
      </c>
      <c r="C82" t="s">
        <v>19</v>
      </c>
      <c r="D82" t="s">
        <v>70</v>
      </c>
      <c r="E82" t="s">
        <v>137</v>
      </c>
      <c r="F82" t="s">
        <v>104</v>
      </c>
      <c r="G82" t="s">
        <v>82</v>
      </c>
      <c r="H82" t="s">
        <v>73</v>
      </c>
      <c r="I82" t="s">
        <v>58</v>
      </c>
      <c r="J82" t="s">
        <v>23</v>
      </c>
      <c r="K82" t="s">
        <v>96</v>
      </c>
      <c r="L82" t="s">
        <v>50</v>
      </c>
      <c r="M82" t="s">
        <v>97</v>
      </c>
      <c r="N82" t="s">
        <v>124</v>
      </c>
    </row>
    <row r="83" spans="1:14" ht="12.75">
      <c r="A83" t="str">
        <f>HYPERLINK("http://www.onsemi.com/PowerSolutions/product.do?id=2N5551G","2N5551G")</f>
        <v>2N5551G</v>
      </c>
      <c r="B83" t="str">
        <f t="shared" si="2"/>
        <v>2N5550/D (88.0kB)</v>
      </c>
      <c r="C83" t="s">
        <v>19</v>
      </c>
      <c r="D83" t="s">
        <v>70</v>
      </c>
      <c r="E83" t="s">
        <v>137</v>
      </c>
      <c r="F83" t="s">
        <v>104</v>
      </c>
      <c r="G83" t="s">
        <v>138</v>
      </c>
      <c r="H83" t="s">
        <v>111</v>
      </c>
      <c r="I83" t="s">
        <v>58</v>
      </c>
      <c r="J83" t="s">
        <v>23</v>
      </c>
      <c r="K83" t="s">
        <v>96</v>
      </c>
      <c r="L83" t="s">
        <v>50</v>
      </c>
      <c r="M83" t="s">
        <v>97</v>
      </c>
      <c r="N83" t="s">
        <v>124</v>
      </c>
    </row>
    <row r="84" spans="1:14" ht="12.75">
      <c r="A84" t="str">
        <f>HYPERLINK("http://www.onsemi.com/PowerSolutions/product.do?id=2N5551RL1G","2N5551RL1G")</f>
        <v>2N5551RL1G</v>
      </c>
      <c r="B84" t="str">
        <f t="shared" si="2"/>
        <v>2N5550/D (88.0kB)</v>
      </c>
      <c r="C84" t="s">
        <v>19</v>
      </c>
      <c r="D84" t="s">
        <v>70</v>
      </c>
      <c r="E84" t="s">
        <v>137</v>
      </c>
      <c r="F84" t="s">
        <v>104</v>
      </c>
      <c r="G84" t="s">
        <v>138</v>
      </c>
      <c r="H84" t="s">
        <v>111</v>
      </c>
      <c r="I84" t="s">
        <v>58</v>
      </c>
      <c r="J84" t="s">
        <v>23</v>
      </c>
      <c r="K84" t="s">
        <v>96</v>
      </c>
      <c r="L84" t="s">
        <v>50</v>
      </c>
      <c r="M84" t="s">
        <v>97</v>
      </c>
      <c r="N84" t="s">
        <v>124</v>
      </c>
    </row>
    <row r="85" spans="1:14" ht="12.75">
      <c r="A85" t="str">
        <f>HYPERLINK("http://www.onsemi.com/PowerSolutions/product.do?id=2N5551RLRAG","2N5551RLRAG")</f>
        <v>2N5551RLRAG</v>
      </c>
      <c r="B85" t="str">
        <f t="shared" si="2"/>
        <v>2N5550/D (88.0kB)</v>
      </c>
      <c r="C85" t="s">
        <v>19</v>
      </c>
      <c r="D85" t="s">
        <v>70</v>
      </c>
      <c r="E85" t="s">
        <v>137</v>
      </c>
      <c r="F85" t="s">
        <v>104</v>
      </c>
      <c r="G85" t="s">
        <v>138</v>
      </c>
      <c r="H85" t="s">
        <v>111</v>
      </c>
      <c r="I85" t="s">
        <v>58</v>
      </c>
      <c r="J85" t="s">
        <v>23</v>
      </c>
      <c r="K85" t="s">
        <v>96</v>
      </c>
      <c r="L85" t="s">
        <v>50</v>
      </c>
      <c r="M85" t="s">
        <v>97</v>
      </c>
      <c r="N85" t="s">
        <v>124</v>
      </c>
    </row>
    <row r="86" spans="1:14" ht="12.75">
      <c r="A86" t="str">
        <f>HYPERLINK("http://www.onsemi.com/PowerSolutions/product.do?id=2N5551RLRPG","2N5551RLRPG")</f>
        <v>2N5551RLRPG</v>
      </c>
      <c r="B86" t="str">
        <f t="shared" si="2"/>
        <v>2N5550/D (88.0kB)</v>
      </c>
      <c r="C86" t="s">
        <v>19</v>
      </c>
      <c r="D86" t="s">
        <v>70</v>
      </c>
      <c r="E86" t="s">
        <v>137</v>
      </c>
      <c r="F86" t="s">
        <v>104</v>
      </c>
      <c r="G86" t="s">
        <v>138</v>
      </c>
      <c r="H86" t="s">
        <v>111</v>
      </c>
      <c r="I86" t="s">
        <v>58</v>
      </c>
      <c r="J86" t="s">
        <v>23</v>
      </c>
      <c r="K86" t="s">
        <v>96</v>
      </c>
      <c r="L86" t="s">
        <v>50</v>
      </c>
      <c r="M86" t="s">
        <v>97</v>
      </c>
      <c r="N86" t="s">
        <v>124</v>
      </c>
    </row>
    <row r="87" spans="1:14" ht="12.75">
      <c r="A87" t="str">
        <f>HYPERLINK("http://www.onsemi.com/PowerSolutions/product.do?id=2N5551ZL1G","2N5551ZL1G")</f>
        <v>2N5551ZL1G</v>
      </c>
      <c r="B87" t="str">
        <f t="shared" si="2"/>
        <v>2N5550/D (88.0kB)</v>
      </c>
      <c r="C87" t="s">
        <v>19</v>
      </c>
      <c r="D87" t="s">
        <v>70</v>
      </c>
      <c r="E87" t="s">
        <v>137</v>
      </c>
      <c r="F87" t="s">
        <v>104</v>
      </c>
      <c r="G87" t="s">
        <v>138</v>
      </c>
      <c r="H87" t="s">
        <v>111</v>
      </c>
      <c r="I87" t="s">
        <v>58</v>
      </c>
      <c r="J87" t="s">
        <v>23</v>
      </c>
      <c r="K87" t="s">
        <v>96</v>
      </c>
      <c r="L87" t="s">
        <v>50</v>
      </c>
      <c r="M87" t="s">
        <v>97</v>
      </c>
      <c r="N87" t="s">
        <v>124</v>
      </c>
    </row>
    <row r="88" spans="1:14" ht="12.75">
      <c r="A88" t="str">
        <f>HYPERLINK("http://www.onsemi.com/PowerSolutions/product.do?id=2N5655G","2N5655G")</f>
        <v>2N5655G</v>
      </c>
      <c r="B88" t="str">
        <f>HYPERLINK("http://www.onsemi.com/pub/Collateral/2N5655-D.PDF","2N5655/D (80.0kB)")</f>
        <v>2N5655/D (80.0kB)</v>
      </c>
      <c r="C88" t="s">
        <v>19</v>
      </c>
      <c r="D88" t="s">
        <v>70</v>
      </c>
      <c r="E88" t="s">
        <v>139</v>
      </c>
      <c r="F88" t="s">
        <v>31</v>
      </c>
      <c r="G88" t="s">
        <v>58</v>
      </c>
      <c r="H88" t="s">
        <v>86</v>
      </c>
      <c r="I88" t="s">
        <v>58</v>
      </c>
      <c r="J88" t="s">
        <v>79</v>
      </c>
      <c r="K88" t="s">
        <v>32</v>
      </c>
      <c r="L88" t="s">
        <v>50</v>
      </c>
      <c r="M88" t="s">
        <v>106</v>
      </c>
      <c r="N88" t="s">
        <v>140</v>
      </c>
    </row>
    <row r="89" spans="1:14" ht="12.75">
      <c r="A89" t="str">
        <f>HYPERLINK("http://www.onsemi.com/PowerSolutions/product.do?id=2N5657","2N5657")</f>
        <v>2N5657</v>
      </c>
      <c r="B89" t="str">
        <f>HYPERLINK("http://www.onsemi.com/pub/Collateral/2N5655-D.PDF","2N5655/D (80.0kB)")</f>
        <v>2N5655/D (80.0kB)</v>
      </c>
      <c r="C89" t="s">
        <v>69</v>
      </c>
      <c r="D89" t="s">
        <v>70</v>
      </c>
      <c r="E89" t="s">
        <v>141</v>
      </c>
      <c r="F89" t="s">
        <v>31</v>
      </c>
      <c r="G89" t="s">
        <v>35</v>
      </c>
      <c r="H89" t="s">
        <v>86</v>
      </c>
      <c r="I89" t="s">
        <v>58</v>
      </c>
      <c r="J89" t="s">
        <v>79</v>
      </c>
      <c r="K89" t="s">
        <v>32</v>
      </c>
      <c r="L89" t="s">
        <v>50</v>
      </c>
      <c r="M89" t="s">
        <v>106</v>
      </c>
      <c r="N89" t="s">
        <v>140</v>
      </c>
    </row>
    <row r="90" spans="1:14" ht="12.75">
      <c r="A90" t="str">
        <f>HYPERLINK("http://www.onsemi.com/PowerSolutions/product.do?id=2N5657G","2N5657G")</f>
        <v>2N5657G</v>
      </c>
      <c r="B90" t="str">
        <f>HYPERLINK("http://www.onsemi.com/pub/Collateral/2N5655-D.PDF","2N5655/D (80.0kB)")</f>
        <v>2N5655/D (80.0kB)</v>
      </c>
      <c r="C90" t="s">
        <v>19</v>
      </c>
      <c r="D90" t="s">
        <v>70</v>
      </c>
      <c r="E90" t="s">
        <v>141</v>
      </c>
      <c r="F90" t="s">
        <v>31</v>
      </c>
      <c r="G90" t="s">
        <v>35</v>
      </c>
      <c r="H90" t="s">
        <v>86</v>
      </c>
      <c r="I90" t="s">
        <v>58</v>
      </c>
      <c r="J90" t="s">
        <v>79</v>
      </c>
      <c r="K90" t="s">
        <v>32</v>
      </c>
      <c r="L90" t="s">
        <v>50</v>
      </c>
      <c r="M90" t="s">
        <v>106</v>
      </c>
      <c r="N90" t="s">
        <v>140</v>
      </c>
    </row>
    <row r="91" spans="1:14" ht="12.75">
      <c r="A91" t="str">
        <f>HYPERLINK("http://www.onsemi.com/PowerSolutions/product.do?id=2N5684G","2N5684G")</f>
        <v>2N5684G</v>
      </c>
      <c r="B91" t="str">
        <f>HYPERLINK("http://www.onsemi.com/pub/Collateral/2N5684-D.PDF","2N5684/D (114.0kB)")</f>
        <v>2N5684/D (114.0kB)</v>
      </c>
      <c r="C91" t="s">
        <v>19</v>
      </c>
      <c r="D91" t="s">
        <v>70</v>
      </c>
      <c r="E91" t="s">
        <v>142</v>
      </c>
      <c r="F91" t="s">
        <v>120</v>
      </c>
      <c r="G91" t="s">
        <v>111</v>
      </c>
      <c r="H91" t="s">
        <v>72</v>
      </c>
      <c r="I91" t="s">
        <v>73</v>
      </c>
      <c r="J91" t="s">
        <v>26</v>
      </c>
      <c r="K91" t="s">
        <v>48</v>
      </c>
      <c r="L91" t="s">
        <v>59</v>
      </c>
      <c r="M91" t="s">
        <v>77</v>
      </c>
      <c r="N91" t="s">
        <v>143</v>
      </c>
    </row>
    <row r="92" spans="1:14" ht="12.75">
      <c r="A92" t="str">
        <f>HYPERLINK("http://www.onsemi.com/PowerSolutions/product.do?id=2N5686","2N5686")</f>
        <v>2N5686</v>
      </c>
      <c r="B92" t="str">
        <f>HYPERLINK("http://www.onsemi.com/pub/Collateral/2N5684-D.PDF","2N5684/D (114.0kB)")</f>
        <v>2N5684/D (114.0kB)</v>
      </c>
      <c r="C92" t="s">
        <v>69</v>
      </c>
      <c r="D92" t="s">
        <v>70</v>
      </c>
      <c r="E92" t="s">
        <v>144</v>
      </c>
      <c r="F92" t="s">
        <v>120</v>
      </c>
      <c r="G92" t="s">
        <v>111</v>
      </c>
      <c r="H92" t="s">
        <v>72</v>
      </c>
      <c r="I92" t="s">
        <v>73</v>
      </c>
      <c r="J92" t="s">
        <v>26</v>
      </c>
      <c r="K92" t="s">
        <v>48</v>
      </c>
      <c r="L92" t="s">
        <v>50</v>
      </c>
      <c r="M92" t="s">
        <v>77</v>
      </c>
      <c r="N92" t="s">
        <v>145</v>
      </c>
    </row>
    <row r="93" spans="1:14" ht="12.75">
      <c r="A93" t="str">
        <f>HYPERLINK("http://www.onsemi.com/PowerSolutions/product.do?id=2N5686G","2N5686G")</f>
        <v>2N5686G</v>
      </c>
      <c r="B93" t="str">
        <f>HYPERLINK("http://www.onsemi.com/pub/Collateral/2N5684-D.PDF","2N5684/D (114.0kB)")</f>
        <v>2N5684/D (114.0kB)</v>
      </c>
      <c r="C93" t="s">
        <v>19</v>
      </c>
      <c r="D93" t="s">
        <v>70</v>
      </c>
      <c r="E93" t="s">
        <v>144</v>
      </c>
      <c r="F93" t="s">
        <v>120</v>
      </c>
      <c r="G93" t="s">
        <v>111</v>
      </c>
      <c r="H93" t="s">
        <v>72</v>
      </c>
      <c r="I93" t="s">
        <v>73</v>
      </c>
      <c r="J93" t="s">
        <v>26</v>
      </c>
      <c r="K93" t="s">
        <v>48</v>
      </c>
      <c r="L93" t="s">
        <v>50</v>
      </c>
      <c r="M93" t="s">
        <v>77</v>
      </c>
      <c r="N93" t="s">
        <v>145</v>
      </c>
    </row>
    <row r="94" spans="1:14" ht="12.75">
      <c r="A94" t="str">
        <f>HYPERLINK("http://www.onsemi.com/PowerSolutions/product.do?id=2N5883","2N5883")</f>
        <v>2N5883</v>
      </c>
      <c r="B94" t="str">
        <f aca="true" t="shared" si="3" ref="B94:B100">HYPERLINK("http://www.onsemi.com/pub/Collateral/2N5883-D.PDF","2N5883/D (94.0kB)")</f>
        <v>2N5883/D (94.0kB)</v>
      </c>
      <c r="C94" t="s">
        <v>69</v>
      </c>
      <c r="D94" t="s">
        <v>70</v>
      </c>
      <c r="E94" t="s">
        <v>146</v>
      </c>
      <c r="F94" t="s">
        <v>102</v>
      </c>
      <c r="G94" t="s">
        <v>73</v>
      </c>
      <c r="H94" t="s">
        <v>32</v>
      </c>
      <c r="I94" t="s">
        <v>23</v>
      </c>
      <c r="J94" t="s">
        <v>94</v>
      </c>
      <c r="K94" t="s">
        <v>33</v>
      </c>
      <c r="L94" t="s">
        <v>59</v>
      </c>
      <c r="M94" t="s">
        <v>77</v>
      </c>
      <c r="N94" t="s">
        <v>147</v>
      </c>
    </row>
    <row r="95" spans="1:14" ht="12.75">
      <c r="A95" t="str">
        <f>HYPERLINK("http://www.onsemi.com/PowerSolutions/product.do?id=2N5883G","2N5883G")</f>
        <v>2N5883G</v>
      </c>
      <c r="B95" t="str">
        <f t="shared" si="3"/>
        <v>2N5883/D (94.0kB)</v>
      </c>
      <c r="C95" t="s">
        <v>19</v>
      </c>
      <c r="D95" t="s">
        <v>70</v>
      </c>
      <c r="E95" t="s">
        <v>146</v>
      </c>
      <c r="F95" t="s">
        <v>102</v>
      </c>
      <c r="G95" t="s">
        <v>73</v>
      </c>
      <c r="H95" t="s">
        <v>32</v>
      </c>
      <c r="I95" t="s">
        <v>23</v>
      </c>
      <c r="J95" t="s">
        <v>94</v>
      </c>
      <c r="K95" t="s">
        <v>33</v>
      </c>
      <c r="L95" t="s">
        <v>59</v>
      </c>
      <c r="M95" t="s">
        <v>77</v>
      </c>
      <c r="N95" t="s">
        <v>147</v>
      </c>
    </row>
    <row r="96" spans="1:14" ht="12.75">
      <c r="A96" t="str">
        <f>HYPERLINK("http://www.onsemi.com/PowerSolutions/product.do?id=2N5884G","2N5884G")</f>
        <v>2N5884G</v>
      </c>
      <c r="B96" t="str">
        <f t="shared" si="3"/>
        <v>2N5883/D (94.0kB)</v>
      </c>
      <c r="C96" t="s">
        <v>19</v>
      </c>
      <c r="D96" t="s">
        <v>70</v>
      </c>
      <c r="E96" t="s">
        <v>148</v>
      </c>
      <c r="F96" t="s">
        <v>102</v>
      </c>
      <c r="G96" t="s">
        <v>111</v>
      </c>
      <c r="H96" t="s">
        <v>32</v>
      </c>
      <c r="I96" t="s">
        <v>23</v>
      </c>
      <c r="J96" t="s">
        <v>94</v>
      </c>
      <c r="K96" t="s">
        <v>33</v>
      </c>
      <c r="L96" t="s">
        <v>59</v>
      </c>
      <c r="M96" t="s">
        <v>77</v>
      </c>
      <c r="N96" t="s">
        <v>147</v>
      </c>
    </row>
    <row r="97" spans="1:14" ht="12.75">
      <c r="A97" t="str">
        <f>HYPERLINK("http://www.onsemi.com/PowerSolutions/product.do?id=2N5885","2N5885")</f>
        <v>2N5885</v>
      </c>
      <c r="B97" t="str">
        <f t="shared" si="3"/>
        <v>2N5883/D (94.0kB)</v>
      </c>
      <c r="C97" t="s">
        <v>69</v>
      </c>
      <c r="D97" t="s">
        <v>70</v>
      </c>
      <c r="E97" t="s">
        <v>149</v>
      </c>
      <c r="F97" t="s">
        <v>102</v>
      </c>
      <c r="G97" t="s">
        <v>73</v>
      </c>
      <c r="H97" t="s">
        <v>32</v>
      </c>
      <c r="I97" t="s">
        <v>23</v>
      </c>
      <c r="J97" t="s">
        <v>94</v>
      </c>
      <c r="K97" t="s">
        <v>33</v>
      </c>
      <c r="L97" t="s">
        <v>50</v>
      </c>
      <c r="M97" t="s">
        <v>77</v>
      </c>
      <c r="N97" t="s">
        <v>89</v>
      </c>
    </row>
    <row r="98" spans="1:14" ht="12.75">
      <c r="A98" t="str">
        <f>HYPERLINK("http://www.onsemi.com/PowerSolutions/product.do?id=2N5885G","2N5885G")</f>
        <v>2N5885G</v>
      </c>
      <c r="B98" t="str">
        <f t="shared" si="3"/>
        <v>2N5883/D (94.0kB)</v>
      </c>
      <c r="C98" t="s">
        <v>19</v>
      </c>
      <c r="D98" t="s">
        <v>70</v>
      </c>
      <c r="E98" t="s">
        <v>149</v>
      </c>
      <c r="F98" t="s">
        <v>102</v>
      </c>
      <c r="G98" t="s">
        <v>73</v>
      </c>
      <c r="H98" t="s">
        <v>32</v>
      </c>
      <c r="I98" t="s">
        <v>23</v>
      </c>
      <c r="J98" t="s">
        <v>94</v>
      </c>
      <c r="K98" t="s">
        <v>33</v>
      </c>
      <c r="L98" t="s">
        <v>50</v>
      </c>
      <c r="M98" t="s">
        <v>77</v>
      </c>
      <c r="N98" t="s">
        <v>89</v>
      </c>
    </row>
    <row r="99" spans="1:14" ht="12.75">
      <c r="A99" t="str">
        <f>HYPERLINK("http://www.onsemi.com/PowerSolutions/product.do?id=2N5886","2N5886")</f>
        <v>2N5886</v>
      </c>
      <c r="B99" t="str">
        <f t="shared" si="3"/>
        <v>2N5883/D (94.0kB)</v>
      </c>
      <c r="C99" t="s">
        <v>69</v>
      </c>
      <c r="D99" t="s">
        <v>70</v>
      </c>
      <c r="E99" t="s">
        <v>150</v>
      </c>
      <c r="F99" t="s">
        <v>102</v>
      </c>
      <c r="G99" t="s">
        <v>111</v>
      </c>
      <c r="H99" t="s">
        <v>32</v>
      </c>
      <c r="I99" t="s">
        <v>23</v>
      </c>
      <c r="J99" t="s">
        <v>94</v>
      </c>
      <c r="K99" t="s">
        <v>33</v>
      </c>
      <c r="L99" t="s">
        <v>50</v>
      </c>
      <c r="M99" t="s">
        <v>77</v>
      </c>
      <c r="N99" t="s">
        <v>89</v>
      </c>
    </row>
    <row r="100" spans="1:14" ht="12.75">
      <c r="A100" t="str">
        <f>HYPERLINK("http://www.onsemi.com/PowerSolutions/product.do?id=2N5886G","2N5886G")</f>
        <v>2N5886G</v>
      </c>
      <c r="B100" t="str">
        <f t="shared" si="3"/>
        <v>2N5883/D (94.0kB)</v>
      </c>
      <c r="C100" t="s">
        <v>19</v>
      </c>
      <c r="D100" t="s">
        <v>70</v>
      </c>
      <c r="E100" t="s">
        <v>150</v>
      </c>
      <c r="F100" t="s">
        <v>102</v>
      </c>
      <c r="G100" t="s">
        <v>111</v>
      </c>
      <c r="H100" t="s">
        <v>32</v>
      </c>
      <c r="I100" t="s">
        <v>23</v>
      </c>
      <c r="J100" t="s">
        <v>94</v>
      </c>
      <c r="K100" t="s">
        <v>33</v>
      </c>
      <c r="L100" t="s">
        <v>50</v>
      </c>
      <c r="M100" t="s">
        <v>77</v>
      </c>
      <c r="N100" t="s">
        <v>89</v>
      </c>
    </row>
    <row r="101" spans="1:14" ht="12.75">
      <c r="A101" t="str">
        <f>HYPERLINK("http://www.onsemi.com/PowerSolutions/product.do?id=2N6107","2N6107")</f>
        <v>2N6107</v>
      </c>
      <c r="B101" t="str">
        <f aca="true" t="shared" si="4" ref="B101:B109">HYPERLINK("http://www.onsemi.com/pub/Collateral/2N6107-D.PDF","2N6107/D (90.0kB)")</f>
        <v>2N6107/D (90.0kB)</v>
      </c>
      <c r="C101" t="s">
        <v>69</v>
      </c>
      <c r="D101" t="s">
        <v>70</v>
      </c>
      <c r="E101" t="s">
        <v>151</v>
      </c>
      <c r="F101" t="s">
        <v>152</v>
      </c>
      <c r="G101" t="s">
        <v>74</v>
      </c>
      <c r="H101" t="s">
        <v>86</v>
      </c>
      <c r="I101" t="s">
        <v>88</v>
      </c>
      <c r="J101" t="s">
        <v>94</v>
      </c>
      <c r="K101" t="s">
        <v>41</v>
      </c>
      <c r="L101" t="s">
        <v>59</v>
      </c>
      <c r="M101" t="s">
        <v>153</v>
      </c>
      <c r="N101" t="s">
        <v>154</v>
      </c>
    </row>
    <row r="102" spans="1:14" ht="12.75">
      <c r="A102" t="str">
        <f>HYPERLINK("http://www.onsemi.com/PowerSolutions/product.do?id=2N6107G","2N6107G")</f>
        <v>2N6107G</v>
      </c>
      <c r="B102" t="str">
        <f t="shared" si="4"/>
        <v>2N6107/D (90.0kB)</v>
      </c>
      <c r="C102" t="s">
        <v>19</v>
      </c>
      <c r="D102" t="s">
        <v>70</v>
      </c>
      <c r="E102" t="s">
        <v>151</v>
      </c>
      <c r="F102" t="s">
        <v>152</v>
      </c>
      <c r="G102" t="s">
        <v>74</v>
      </c>
      <c r="H102" t="s">
        <v>86</v>
      </c>
      <c r="I102" t="s">
        <v>88</v>
      </c>
      <c r="J102" t="s">
        <v>94</v>
      </c>
      <c r="K102" t="s">
        <v>41</v>
      </c>
      <c r="L102" t="s">
        <v>59</v>
      </c>
      <c r="M102" t="s">
        <v>153</v>
      </c>
      <c r="N102" t="s">
        <v>154</v>
      </c>
    </row>
    <row r="103" spans="1:14" ht="12.75">
      <c r="A103" t="str">
        <f>HYPERLINK("http://www.onsemi.com/PowerSolutions/product.do?id=2N6109","2N6109")</f>
        <v>2N6109</v>
      </c>
      <c r="B103" t="str">
        <f t="shared" si="4"/>
        <v>2N6107/D (90.0kB)</v>
      </c>
      <c r="C103" t="s">
        <v>69</v>
      </c>
      <c r="D103" t="s">
        <v>70</v>
      </c>
      <c r="E103" t="s">
        <v>155</v>
      </c>
      <c r="F103" t="s">
        <v>152</v>
      </c>
      <c r="G103" t="s">
        <v>120</v>
      </c>
      <c r="H103" t="s">
        <v>86</v>
      </c>
      <c r="I103" t="s">
        <v>88</v>
      </c>
      <c r="J103" t="s">
        <v>79</v>
      </c>
      <c r="K103" t="s">
        <v>41</v>
      </c>
      <c r="L103" t="s">
        <v>59</v>
      </c>
      <c r="M103" t="s">
        <v>153</v>
      </c>
      <c r="N103" t="s">
        <v>154</v>
      </c>
    </row>
    <row r="104" spans="1:14" ht="12.75">
      <c r="A104" t="str">
        <f>HYPERLINK("http://www.onsemi.com/PowerSolutions/product.do?id=2N6109G","2N6109G")</f>
        <v>2N6109G</v>
      </c>
      <c r="B104" t="str">
        <f t="shared" si="4"/>
        <v>2N6107/D (90.0kB)</v>
      </c>
      <c r="C104" t="s">
        <v>19</v>
      </c>
      <c r="D104" t="s">
        <v>70</v>
      </c>
      <c r="E104" t="s">
        <v>155</v>
      </c>
      <c r="F104" t="s">
        <v>152</v>
      </c>
      <c r="G104" t="s">
        <v>120</v>
      </c>
      <c r="H104" t="s">
        <v>86</v>
      </c>
      <c r="I104" t="s">
        <v>88</v>
      </c>
      <c r="J104" t="s">
        <v>79</v>
      </c>
      <c r="K104" t="s">
        <v>41</v>
      </c>
      <c r="L104" t="s">
        <v>59</v>
      </c>
      <c r="M104" t="s">
        <v>153</v>
      </c>
      <c r="N104" t="s">
        <v>154</v>
      </c>
    </row>
    <row r="105" spans="1:14" ht="12.75">
      <c r="A105" t="str">
        <f>HYPERLINK("http://www.onsemi.com/PowerSolutions/product.do?id=2N6111","2N6111")</f>
        <v>2N6111</v>
      </c>
      <c r="B105" t="str">
        <f t="shared" si="4"/>
        <v>2N6107/D (90.0kB)</v>
      </c>
      <c r="C105" t="s">
        <v>69</v>
      </c>
      <c r="D105" t="s">
        <v>70</v>
      </c>
      <c r="E105" t="s">
        <v>156</v>
      </c>
      <c r="F105" t="s">
        <v>152</v>
      </c>
      <c r="G105" t="s">
        <v>86</v>
      </c>
      <c r="H105" t="s">
        <v>86</v>
      </c>
      <c r="I105" t="s">
        <v>88</v>
      </c>
      <c r="J105" t="s">
        <v>79</v>
      </c>
      <c r="K105" t="s">
        <v>41</v>
      </c>
      <c r="L105" t="s">
        <v>59</v>
      </c>
      <c r="M105" t="s">
        <v>153</v>
      </c>
      <c r="N105" t="s">
        <v>154</v>
      </c>
    </row>
    <row r="106" spans="1:14" ht="12.75">
      <c r="A106" t="str">
        <f>HYPERLINK("http://www.onsemi.com/PowerSolutions/product.do?id=2N6111G","2N6111G")</f>
        <v>2N6111G</v>
      </c>
      <c r="B106" t="str">
        <f t="shared" si="4"/>
        <v>2N6107/D (90.0kB)</v>
      </c>
      <c r="C106" t="s">
        <v>19</v>
      </c>
      <c r="D106" t="s">
        <v>70</v>
      </c>
      <c r="E106" t="s">
        <v>156</v>
      </c>
      <c r="F106" t="s">
        <v>152</v>
      </c>
      <c r="G106" t="s">
        <v>86</v>
      </c>
      <c r="H106" t="s">
        <v>86</v>
      </c>
      <c r="I106" t="s">
        <v>88</v>
      </c>
      <c r="J106" t="s">
        <v>79</v>
      </c>
      <c r="K106" t="s">
        <v>41</v>
      </c>
      <c r="L106" t="s">
        <v>59</v>
      </c>
      <c r="M106" t="s">
        <v>153</v>
      </c>
      <c r="N106" t="s">
        <v>154</v>
      </c>
    </row>
    <row r="107" spans="1:14" ht="12.75">
      <c r="A107" t="str">
        <f>HYPERLINK("http://www.onsemi.com/PowerSolutions/product.do?id=2N6288G","2N6288G")</f>
        <v>2N6288G</v>
      </c>
      <c r="B107" t="str">
        <f t="shared" si="4"/>
        <v>2N6107/D (90.0kB)</v>
      </c>
      <c r="C107" t="s">
        <v>19</v>
      </c>
      <c r="D107" t="s">
        <v>70</v>
      </c>
      <c r="E107" t="s">
        <v>157</v>
      </c>
      <c r="F107" t="s">
        <v>152</v>
      </c>
      <c r="G107" t="s">
        <v>86</v>
      </c>
      <c r="H107" t="s">
        <v>86</v>
      </c>
      <c r="I107" t="s">
        <v>88</v>
      </c>
      <c r="J107" t="s">
        <v>94</v>
      </c>
      <c r="K107" t="s">
        <v>41</v>
      </c>
      <c r="L107" t="s">
        <v>50</v>
      </c>
      <c r="M107" t="s">
        <v>153</v>
      </c>
      <c r="N107" t="s">
        <v>158</v>
      </c>
    </row>
    <row r="108" spans="1:14" ht="12.75">
      <c r="A108" t="str">
        <f>HYPERLINK("http://www.onsemi.com/PowerSolutions/product.do?id=2N6292","2N6292")</f>
        <v>2N6292</v>
      </c>
      <c r="B108" t="str">
        <f t="shared" si="4"/>
        <v>2N6107/D (90.0kB)</v>
      </c>
      <c r="C108" t="s">
        <v>69</v>
      </c>
      <c r="D108" t="s">
        <v>70</v>
      </c>
      <c r="E108" t="s">
        <v>159</v>
      </c>
      <c r="F108" t="s">
        <v>152</v>
      </c>
      <c r="G108" t="s">
        <v>74</v>
      </c>
      <c r="H108" t="s">
        <v>86</v>
      </c>
      <c r="I108" t="s">
        <v>88</v>
      </c>
      <c r="J108" t="s">
        <v>94</v>
      </c>
      <c r="K108" t="s">
        <v>41</v>
      </c>
      <c r="L108" t="s">
        <v>50</v>
      </c>
      <c r="M108" t="s">
        <v>153</v>
      </c>
      <c r="N108" t="s">
        <v>158</v>
      </c>
    </row>
    <row r="109" spans="1:14" ht="12.75">
      <c r="A109" t="str">
        <f>HYPERLINK("http://www.onsemi.com/PowerSolutions/product.do?id=2N6292G","2N6292G")</f>
        <v>2N6292G</v>
      </c>
      <c r="B109" t="str">
        <f t="shared" si="4"/>
        <v>2N6107/D (90.0kB)</v>
      </c>
      <c r="C109" t="s">
        <v>19</v>
      </c>
      <c r="D109" t="s">
        <v>70</v>
      </c>
      <c r="E109" t="s">
        <v>159</v>
      </c>
      <c r="F109" t="s">
        <v>152</v>
      </c>
      <c r="G109" t="s">
        <v>152</v>
      </c>
      <c r="H109" t="s">
        <v>86</v>
      </c>
      <c r="I109" t="s">
        <v>88</v>
      </c>
      <c r="J109" t="s">
        <v>94</v>
      </c>
      <c r="K109" t="s">
        <v>41</v>
      </c>
      <c r="L109" t="s">
        <v>50</v>
      </c>
      <c r="M109" t="s">
        <v>153</v>
      </c>
      <c r="N109" t="s">
        <v>158</v>
      </c>
    </row>
    <row r="110" spans="1:14" ht="12.75">
      <c r="A110" t="str">
        <f>HYPERLINK("http://www.onsemi.com/PowerSolutions/product.do?id=2N6338G","2N6338G")</f>
        <v>2N6338G</v>
      </c>
      <c r="B110" t="str">
        <f>HYPERLINK("http://www.onsemi.com/pub/Collateral/2N6338-D.PDF","2N6338/D (135.0kB)")</f>
        <v>2N6338/D (135.0kB)</v>
      </c>
      <c r="C110" t="s">
        <v>19</v>
      </c>
      <c r="D110" t="s">
        <v>70</v>
      </c>
      <c r="E110" t="s">
        <v>160</v>
      </c>
      <c r="F110" t="s">
        <v>102</v>
      </c>
      <c r="G110" t="s">
        <v>23</v>
      </c>
      <c r="H110" t="s">
        <v>86</v>
      </c>
      <c r="I110" t="s">
        <v>24</v>
      </c>
      <c r="J110" t="s">
        <v>41</v>
      </c>
      <c r="K110" t="s">
        <v>33</v>
      </c>
      <c r="L110" t="s">
        <v>50</v>
      </c>
      <c r="M110" t="s">
        <v>77</v>
      </c>
      <c r="N110" t="s">
        <v>161</v>
      </c>
    </row>
    <row r="111" spans="1:14" ht="12.75">
      <c r="A111" t="str">
        <f>HYPERLINK("http://www.onsemi.com/PowerSolutions/product.do?id=2N6341G","2N6341G")</f>
        <v>2N6341G</v>
      </c>
      <c r="B111" t="str">
        <f>HYPERLINK("http://www.onsemi.com/pub/Collateral/2N6338-D.PDF","2N6338/D (135.0kB)")</f>
        <v>2N6338/D (135.0kB)</v>
      </c>
      <c r="C111" t="s">
        <v>19</v>
      </c>
      <c r="D111" t="s">
        <v>70</v>
      </c>
      <c r="E111" t="s">
        <v>162</v>
      </c>
      <c r="F111" t="s">
        <v>102</v>
      </c>
      <c r="G111" t="s">
        <v>88</v>
      </c>
      <c r="H111" t="s">
        <v>86</v>
      </c>
      <c r="I111" t="s">
        <v>24</v>
      </c>
      <c r="J111" t="s">
        <v>41</v>
      </c>
      <c r="K111" t="s">
        <v>33</v>
      </c>
      <c r="L111" t="s">
        <v>50</v>
      </c>
      <c r="M111" t="s">
        <v>77</v>
      </c>
      <c r="N111" t="s">
        <v>161</v>
      </c>
    </row>
    <row r="112" spans="1:14" ht="12.75">
      <c r="A112" t="str">
        <f>HYPERLINK("http://www.onsemi.com/PowerSolutions/product.do?id=2N6487G","2N6487G")</f>
        <v>2N6487G</v>
      </c>
      <c r="B112" t="str">
        <f aca="true" t="shared" si="5" ref="B112:B118">HYPERLINK("http://www.onsemi.com/pub/Collateral/2N6487-D.PDF","2N6487/D (92.0kB)")</f>
        <v>2N6487/D (92.0kB)</v>
      </c>
      <c r="C112" t="s">
        <v>19</v>
      </c>
      <c r="D112" t="s">
        <v>70</v>
      </c>
      <c r="E112" t="s">
        <v>71</v>
      </c>
      <c r="F112" t="s">
        <v>72</v>
      </c>
      <c r="G112" t="s">
        <v>73</v>
      </c>
      <c r="H112" t="s">
        <v>32</v>
      </c>
      <c r="I112" t="s">
        <v>88</v>
      </c>
      <c r="J112" t="s">
        <v>163</v>
      </c>
      <c r="K112" t="s">
        <v>164</v>
      </c>
      <c r="L112" t="s">
        <v>50</v>
      </c>
      <c r="M112" t="s">
        <v>153</v>
      </c>
      <c r="N112" t="s">
        <v>165</v>
      </c>
    </row>
    <row r="113" spans="1:14" ht="12.75">
      <c r="A113" t="str">
        <f>HYPERLINK("http://www.onsemi.com/PowerSolutions/product.do?id=2N6488","2N6488")</f>
        <v>2N6488</v>
      </c>
      <c r="B113" t="str">
        <f t="shared" si="5"/>
        <v>2N6487/D (92.0kB)</v>
      </c>
      <c r="C113" t="s">
        <v>69</v>
      </c>
      <c r="D113" t="s">
        <v>70</v>
      </c>
      <c r="E113" t="s">
        <v>166</v>
      </c>
      <c r="F113" t="s">
        <v>72</v>
      </c>
      <c r="G113" t="s">
        <v>111</v>
      </c>
      <c r="H113" t="s">
        <v>32</v>
      </c>
      <c r="I113" t="s">
        <v>88</v>
      </c>
      <c r="J113" t="s">
        <v>163</v>
      </c>
      <c r="K113" t="s">
        <v>164</v>
      </c>
      <c r="L113" t="s">
        <v>50</v>
      </c>
      <c r="M113" t="s">
        <v>153</v>
      </c>
      <c r="N113" t="s">
        <v>100</v>
      </c>
    </row>
    <row r="114" spans="1:14" ht="12.75">
      <c r="A114" t="str">
        <f>HYPERLINK("http://www.onsemi.com/PowerSolutions/product.do?id=2N6488G","2N6488G")</f>
        <v>2N6488G</v>
      </c>
      <c r="B114" t="str">
        <f t="shared" si="5"/>
        <v>2N6487/D (92.0kB)</v>
      </c>
      <c r="C114" t="s">
        <v>19</v>
      </c>
      <c r="D114" t="s">
        <v>70</v>
      </c>
      <c r="E114" t="s">
        <v>166</v>
      </c>
      <c r="F114" t="s">
        <v>72</v>
      </c>
      <c r="G114" t="s">
        <v>111</v>
      </c>
      <c r="H114" t="s">
        <v>32</v>
      </c>
      <c r="I114" t="s">
        <v>88</v>
      </c>
      <c r="J114" t="s">
        <v>163</v>
      </c>
      <c r="K114" t="s">
        <v>164</v>
      </c>
      <c r="L114" t="s">
        <v>50</v>
      </c>
      <c r="M114" t="s">
        <v>153</v>
      </c>
      <c r="N114" t="s">
        <v>167</v>
      </c>
    </row>
    <row r="115" spans="1:14" ht="12.75">
      <c r="A115" t="str">
        <f>HYPERLINK("http://www.onsemi.com/PowerSolutions/product.do?id=2N6490","2N6490")</f>
        <v>2N6490</v>
      </c>
      <c r="B115" t="str">
        <f t="shared" si="5"/>
        <v>2N6487/D (92.0kB)</v>
      </c>
      <c r="C115" t="s">
        <v>69</v>
      </c>
      <c r="D115" t="s">
        <v>70</v>
      </c>
      <c r="E115" t="s">
        <v>168</v>
      </c>
      <c r="F115" t="s">
        <v>72</v>
      </c>
      <c r="G115" t="s">
        <v>73</v>
      </c>
      <c r="I115" t="s">
        <v>88</v>
      </c>
      <c r="J115" t="s">
        <v>163</v>
      </c>
      <c r="K115" t="s">
        <v>164</v>
      </c>
      <c r="L115" t="s">
        <v>59</v>
      </c>
      <c r="M115" t="s">
        <v>153</v>
      </c>
      <c r="N115" t="s">
        <v>169</v>
      </c>
    </row>
    <row r="116" spans="1:14" ht="12.75">
      <c r="A116" t="str">
        <f>HYPERLINK("http://www.onsemi.com/PowerSolutions/product.do?id=2N6490G","2N6490G")</f>
        <v>2N6490G</v>
      </c>
      <c r="B116" t="str">
        <f t="shared" si="5"/>
        <v>2N6487/D (92.0kB)</v>
      </c>
      <c r="C116" t="s">
        <v>19</v>
      </c>
      <c r="D116" t="s">
        <v>70</v>
      </c>
      <c r="E116" t="s">
        <v>168</v>
      </c>
      <c r="F116" t="s">
        <v>72</v>
      </c>
      <c r="G116" t="s">
        <v>73</v>
      </c>
      <c r="I116" t="s">
        <v>88</v>
      </c>
      <c r="J116" t="s">
        <v>163</v>
      </c>
      <c r="K116" t="s">
        <v>164</v>
      </c>
      <c r="L116" t="s">
        <v>59</v>
      </c>
      <c r="M116" t="s">
        <v>153</v>
      </c>
      <c r="N116" t="s">
        <v>169</v>
      </c>
    </row>
    <row r="117" spans="1:14" ht="12.75">
      <c r="A117" t="str">
        <f>HYPERLINK("http://www.onsemi.com/PowerSolutions/product.do?id=2N6491","2N6491")</f>
        <v>2N6491</v>
      </c>
      <c r="B117" t="str">
        <f t="shared" si="5"/>
        <v>2N6487/D (92.0kB)</v>
      </c>
      <c r="C117" t="s">
        <v>69</v>
      </c>
      <c r="D117" t="s">
        <v>70</v>
      </c>
      <c r="E117" t="s">
        <v>170</v>
      </c>
      <c r="F117" t="s">
        <v>72</v>
      </c>
      <c r="G117" t="s">
        <v>111</v>
      </c>
      <c r="H117" t="s">
        <v>32</v>
      </c>
      <c r="I117" t="s">
        <v>88</v>
      </c>
      <c r="J117" t="s">
        <v>163</v>
      </c>
      <c r="K117" t="s">
        <v>164</v>
      </c>
      <c r="L117" t="s">
        <v>59</v>
      </c>
      <c r="M117" t="s">
        <v>153</v>
      </c>
      <c r="N117" t="s">
        <v>100</v>
      </c>
    </row>
    <row r="118" spans="1:14" ht="12.75">
      <c r="A118" t="str">
        <f>HYPERLINK("http://www.onsemi.com/PowerSolutions/product.do?id=2N6491G","2N6491G")</f>
        <v>2N6491G</v>
      </c>
      <c r="B118" t="str">
        <f t="shared" si="5"/>
        <v>2N6487/D (92.0kB)</v>
      </c>
      <c r="C118" t="s">
        <v>19</v>
      </c>
      <c r="D118" t="s">
        <v>70</v>
      </c>
      <c r="E118" t="s">
        <v>170</v>
      </c>
      <c r="F118" t="s">
        <v>72</v>
      </c>
      <c r="G118" t="s">
        <v>111</v>
      </c>
      <c r="H118" t="s">
        <v>32</v>
      </c>
      <c r="I118" t="s">
        <v>88</v>
      </c>
      <c r="J118" t="s">
        <v>163</v>
      </c>
      <c r="K118" t="s">
        <v>164</v>
      </c>
      <c r="L118" t="s">
        <v>59</v>
      </c>
      <c r="M118" t="s">
        <v>153</v>
      </c>
      <c r="N118" t="s">
        <v>171</v>
      </c>
    </row>
    <row r="119" spans="1:14" ht="12.75">
      <c r="A119" t="str">
        <f>HYPERLINK("http://www.onsemi.com/PowerSolutions/product.do?id=2N6497","2N6497")</f>
        <v>2N6497</v>
      </c>
      <c r="B119" t="str">
        <f>HYPERLINK("http://www.onsemi.com/pub/Collateral/2N6497-D.PDF","2N6497/D (74.0kB)")</f>
        <v>2N6497/D (74.0kB)</v>
      </c>
      <c r="C119" t="s">
        <v>69</v>
      </c>
      <c r="D119" t="s">
        <v>70</v>
      </c>
      <c r="E119" t="s">
        <v>172</v>
      </c>
      <c r="F119" t="s">
        <v>163</v>
      </c>
      <c r="G119" t="s">
        <v>58</v>
      </c>
      <c r="H119" t="s">
        <v>79</v>
      </c>
      <c r="I119" t="s">
        <v>164</v>
      </c>
      <c r="J119" t="s">
        <v>163</v>
      </c>
      <c r="K119" t="s">
        <v>111</v>
      </c>
      <c r="L119" t="s">
        <v>50</v>
      </c>
      <c r="M119" t="s">
        <v>153</v>
      </c>
      <c r="N119" t="s">
        <v>173</v>
      </c>
    </row>
    <row r="120" spans="1:14" ht="12.75">
      <c r="A120" t="str">
        <f>HYPERLINK("http://www.onsemi.com/PowerSolutions/product.do?id=2N6520RLRAG","2N6520RLRAG")</f>
        <v>2N6520RLRAG</v>
      </c>
      <c r="B120" t="str">
        <f>HYPERLINK("http://www.onsemi.com/pub/Collateral/2N6515-D.PDF","2N6515/D (116.0kB)")</f>
        <v>2N6515/D (116.0kB)</v>
      </c>
      <c r="C120" t="s">
        <v>19</v>
      </c>
      <c r="D120" t="s">
        <v>70</v>
      </c>
      <c r="E120" t="s">
        <v>134</v>
      </c>
      <c r="F120" t="s">
        <v>135</v>
      </c>
      <c r="G120" t="s">
        <v>35</v>
      </c>
      <c r="H120" t="s">
        <v>86</v>
      </c>
      <c r="I120" t="s">
        <v>33</v>
      </c>
      <c r="J120" t="s">
        <v>41</v>
      </c>
      <c r="K120" t="s">
        <v>96</v>
      </c>
      <c r="L120" t="s">
        <v>59</v>
      </c>
      <c r="M120" t="s">
        <v>97</v>
      </c>
      <c r="N120" t="s">
        <v>174</v>
      </c>
    </row>
    <row r="121" spans="1:14" ht="12.75">
      <c r="A121" t="str">
        <f>HYPERLINK("http://www.onsemi.com/PowerSolutions/product.do?id=2SA1020RLRAG","2SA1020RLRAG")</f>
        <v>2SA1020RLRAG</v>
      </c>
      <c r="B121" t="str">
        <f>HYPERLINK("http://www.onsemi.com/pub/Collateral/2SA1020-D.PDF","2SA1020/D (52.0kB)")</f>
        <v>2SA1020/D (52.0kB)</v>
      </c>
      <c r="C121" t="s">
        <v>19</v>
      </c>
      <c r="D121" t="s">
        <v>70</v>
      </c>
      <c r="E121" t="s">
        <v>175</v>
      </c>
      <c r="F121" t="s">
        <v>26</v>
      </c>
      <c r="G121" t="s">
        <v>120</v>
      </c>
      <c r="H121" t="s">
        <v>74</v>
      </c>
      <c r="I121" t="s">
        <v>136</v>
      </c>
      <c r="K121" t="s">
        <v>176</v>
      </c>
      <c r="L121" t="s">
        <v>59</v>
      </c>
      <c r="M121" t="s">
        <v>177</v>
      </c>
      <c r="N121" t="s">
        <v>178</v>
      </c>
    </row>
    <row r="122" spans="1:14" ht="12.75">
      <c r="A122" t="str">
        <f>HYPERLINK("http://www.onsemi.com/PowerSolutions/product.do?id=2SA1774G","2SA1774G")</f>
        <v>2SA1774G</v>
      </c>
      <c r="B122" t="str">
        <f>HYPERLINK("http://www.onsemi.com/pub/Collateral/2SA1774-D.PDF","2SA1774/D (53.0kB)")</f>
        <v>2SA1774/D (53.0kB)</v>
      </c>
      <c r="C122" t="s">
        <v>19</v>
      </c>
      <c r="D122" t="s">
        <v>70</v>
      </c>
      <c r="E122" t="s">
        <v>99</v>
      </c>
      <c r="F122" t="s">
        <v>63</v>
      </c>
      <c r="G122" t="s">
        <v>120</v>
      </c>
      <c r="H122" t="s">
        <v>24</v>
      </c>
      <c r="I122" t="s">
        <v>179</v>
      </c>
      <c r="K122" t="s">
        <v>180</v>
      </c>
      <c r="L122" t="s">
        <v>59</v>
      </c>
      <c r="M122" t="s">
        <v>181</v>
      </c>
      <c r="N122" t="s">
        <v>100</v>
      </c>
    </row>
    <row r="123" spans="1:14" ht="12.75">
      <c r="A123" t="str">
        <f>HYPERLINK("http://www.onsemi.com/PowerSolutions/product.do?id=2SA1774T1G","2SA1774T1G")</f>
        <v>2SA1774T1G</v>
      </c>
      <c r="B123" t="str">
        <f>HYPERLINK("http://www.onsemi.com/pub/Collateral/2SA1774-D.PDF","2SA1774/D (53.0kB)")</f>
        <v>2SA1774/D (53.0kB)</v>
      </c>
      <c r="C123" t="s">
        <v>19</v>
      </c>
      <c r="D123" t="s">
        <v>70</v>
      </c>
      <c r="E123" t="s">
        <v>99</v>
      </c>
      <c r="F123" t="s">
        <v>63</v>
      </c>
      <c r="G123" t="s">
        <v>120</v>
      </c>
      <c r="H123" t="s">
        <v>24</v>
      </c>
      <c r="I123" t="s">
        <v>179</v>
      </c>
      <c r="K123" t="s">
        <v>180</v>
      </c>
      <c r="L123" t="s">
        <v>59</v>
      </c>
      <c r="M123" t="s">
        <v>181</v>
      </c>
      <c r="N123" t="s">
        <v>182</v>
      </c>
    </row>
    <row r="124" spans="1:14" ht="12.75">
      <c r="A124" t="str">
        <f>HYPERLINK("http://www.onsemi.com/PowerSolutions/product.do?id=2SA2029M3T5G","2SA2029M3T5G")</f>
        <v>2SA2029M3T5G</v>
      </c>
      <c r="B124" t="str">
        <f>HYPERLINK("http://www.onsemi.com/pub/Collateral/2SA2029M3-D.PDF","2SA2029M3/D (45.0kB)")</f>
        <v>2SA2029M3/D (45.0kB)</v>
      </c>
      <c r="C124" t="s">
        <v>19</v>
      </c>
      <c r="D124" t="s">
        <v>70</v>
      </c>
      <c r="E124" t="s">
        <v>183</v>
      </c>
      <c r="F124" t="s">
        <v>63</v>
      </c>
      <c r="G124" t="s">
        <v>120</v>
      </c>
      <c r="H124" t="s">
        <v>24</v>
      </c>
      <c r="I124" t="s">
        <v>179</v>
      </c>
      <c r="K124" t="s">
        <v>184</v>
      </c>
      <c r="L124" t="s">
        <v>59</v>
      </c>
      <c r="M124" t="s">
        <v>185</v>
      </c>
      <c r="N124" t="s">
        <v>186</v>
      </c>
    </row>
    <row r="125" spans="1:14" ht="12.75">
      <c r="A125" t="str">
        <f>HYPERLINK("http://www.onsemi.com/PowerSolutions/product.do?id=2SC4617G","2SC4617G")</f>
        <v>2SC4617G</v>
      </c>
      <c r="B125" t="str">
        <f>HYPERLINK("http://www.onsemi.com/pub/Collateral/2SC4617-D.PDF","2SC4617/D (45.0kB)")</f>
        <v>2SC4617/D (45.0kB)</v>
      </c>
      <c r="C125" t="s">
        <v>19</v>
      </c>
      <c r="D125" t="s">
        <v>70</v>
      </c>
      <c r="E125" t="s">
        <v>95</v>
      </c>
      <c r="F125" t="s">
        <v>63</v>
      </c>
      <c r="G125" t="s">
        <v>120</v>
      </c>
      <c r="H125" t="s">
        <v>24</v>
      </c>
      <c r="I125" t="s">
        <v>179</v>
      </c>
      <c r="J125" t="s">
        <v>187</v>
      </c>
      <c r="K125" t="s">
        <v>188</v>
      </c>
      <c r="L125" t="s">
        <v>50</v>
      </c>
      <c r="M125" t="s">
        <v>181</v>
      </c>
      <c r="N125" t="s">
        <v>100</v>
      </c>
    </row>
    <row r="126" spans="1:14" ht="12.75">
      <c r="A126" t="str">
        <f>HYPERLINK("http://www.onsemi.com/PowerSolutions/product.do?id=2SC4617T1G","2SC4617T1G")</f>
        <v>2SC4617T1G</v>
      </c>
      <c r="B126" t="str">
        <f>HYPERLINK("http://www.onsemi.com/pub/Collateral/2SC4617-D.PDF","2SC4617/D (45.0kB)")</f>
        <v>2SC4617/D (45.0kB)</v>
      </c>
      <c r="C126" t="s">
        <v>19</v>
      </c>
      <c r="D126" t="s">
        <v>70</v>
      </c>
      <c r="E126" t="s">
        <v>95</v>
      </c>
      <c r="F126" t="s">
        <v>63</v>
      </c>
      <c r="G126" t="s">
        <v>120</v>
      </c>
      <c r="H126" t="s">
        <v>88</v>
      </c>
      <c r="I126" t="s">
        <v>179</v>
      </c>
      <c r="J126" t="s">
        <v>187</v>
      </c>
      <c r="K126" t="s">
        <v>188</v>
      </c>
      <c r="L126" t="s">
        <v>50</v>
      </c>
      <c r="M126" t="s">
        <v>181</v>
      </c>
      <c r="N126" t="s">
        <v>189</v>
      </c>
    </row>
    <row r="127" spans="1:14" ht="12.75">
      <c r="A127" t="str">
        <f>HYPERLINK("http://www.onsemi.com/PowerSolutions/product.do?id=2SC5658M3T5G","2SC5658M3T5G")</f>
        <v>2SC5658M3T5G</v>
      </c>
      <c r="B127" t="str">
        <f>HYPERLINK("http://www.onsemi.com/pub/Collateral/2SC5658M3-D.PDF","2SC5658M3/D (44.0kB)")</f>
        <v>2SC5658M3/D (44.0kB)</v>
      </c>
      <c r="C127" t="s">
        <v>19</v>
      </c>
      <c r="D127" t="s">
        <v>70</v>
      </c>
      <c r="E127" t="s">
        <v>190</v>
      </c>
      <c r="F127" t="s">
        <v>63</v>
      </c>
      <c r="G127" t="s">
        <v>120</v>
      </c>
      <c r="H127" t="s">
        <v>24</v>
      </c>
      <c r="I127" t="s">
        <v>179</v>
      </c>
      <c r="J127" t="s">
        <v>187</v>
      </c>
      <c r="K127" t="s">
        <v>191</v>
      </c>
      <c r="L127" t="s">
        <v>50</v>
      </c>
      <c r="M127" t="s">
        <v>185</v>
      </c>
      <c r="N127" t="s">
        <v>192</v>
      </c>
    </row>
    <row r="128" spans="1:14" ht="12.75">
      <c r="A128" t="str">
        <f>HYPERLINK("http://www.onsemi.com/PowerSolutions/product.do?id=BC237BG","BC237BG")</f>
        <v>BC237BG</v>
      </c>
      <c r="B128" t="str">
        <f>HYPERLINK("http://www.onsemi.com/pub/Collateral/BC237-D.PDF","BC237/D (59.0kB)")</f>
        <v>BC237/D (59.0kB)</v>
      </c>
      <c r="C128" t="s">
        <v>19</v>
      </c>
      <c r="D128" t="s">
        <v>70</v>
      </c>
      <c r="E128" t="s">
        <v>95</v>
      </c>
      <c r="F128" t="s">
        <v>63</v>
      </c>
      <c r="G128" t="s">
        <v>64</v>
      </c>
      <c r="H128" t="s">
        <v>33</v>
      </c>
      <c r="I128" t="s">
        <v>193</v>
      </c>
      <c r="J128" t="s">
        <v>88</v>
      </c>
      <c r="K128" t="s">
        <v>194</v>
      </c>
      <c r="L128" t="s">
        <v>50</v>
      </c>
      <c r="M128" t="s">
        <v>97</v>
      </c>
      <c r="N128" t="s">
        <v>103</v>
      </c>
    </row>
    <row r="129" spans="1:14" ht="12.75">
      <c r="A129" t="str">
        <f>HYPERLINK("http://www.onsemi.com/PowerSolutions/product.do?id=BC237BRL1G","BC237BRL1G")</f>
        <v>BC237BRL1G</v>
      </c>
      <c r="B129" t="str">
        <f>HYPERLINK("http://www.onsemi.com/pub/Collateral/BC237-D.PDF","BC237/D (59.0kB)")</f>
        <v>BC237/D (59.0kB)</v>
      </c>
      <c r="C129" t="s">
        <v>19</v>
      </c>
      <c r="D129" t="s">
        <v>70</v>
      </c>
      <c r="E129" t="s">
        <v>95</v>
      </c>
      <c r="F129" t="s">
        <v>63</v>
      </c>
      <c r="G129" t="s">
        <v>64</v>
      </c>
      <c r="H129" t="s">
        <v>33</v>
      </c>
      <c r="I129" t="s">
        <v>193</v>
      </c>
      <c r="J129" t="s">
        <v>88</v>
      </c>
      <c r="K129" t="s">
        <v>194</v>
      </c>
      <c r="L129" t="s">
        <v>50</v>
      </c>
      <c r="M129" t="s">
        <v>97</v>
      </c>
      <c r="N129" t="s">
        <v>103</v>
      </c>
    </row>
    <row r="130" spans="1:14" ht="12.75">
      <c r="A130" t="str">
        <f>HYPERLINK("http://www.onsemi.com/PowerSolutions/product.do?id=BC307BRL1G","BC307BRL1G")</f>
        <v>BC307BRL1G</v>
      </c>
      <c r="B130" t="str">
        <f>HYPERLINK("http://www.onsemi.com/pub/Collateral/BC307-D.PDF","BC307/D (54.0kB)")</f>
        <v>BC307/D (54.0kB)</v>
      </c>
      <c r="C130" t="s">
        <v>19</v>
      </c>
      <c r="D130" t="s">
        <v>70</v>
      </c>
      <c r="E130" t="s">
        <v>99</v>
      </c>
      <c r="F130" t="s">
        <v>63</v>
      </c>
      <c r="G130" t="s">
        <v>64</v>
      </c>
      <c r="H130" t="s">
        <v>33</v>
      </c>
      <c r="I130" t="s">
        <v>193</v>
      </c>
      <c r="K130" t="s">
        <v>194</v>
      </c>
      <c r="L130" t="s">
        <v>59</v>
      </c>
      <c r="M130" t="s">
        <v>97</v>
      </c>
      <c r="N130" t="s">
        <v>103</v>
      </c>
    </row>
    <row r="131" spans="1:14" ht="12.75">
      <c r="A131" t="str">
        <f>HYPERLINK("http://www.onsemi.com/PowerSolutions/product.do?id=BC327-025G","BC327-025G")</f>
        <v>BC327-025G</v>
      </c>
      <c r="B131" t="str">
        <f>HYPERLINK("http://www.onsemi.com/pub/Collateral/BC327-D.PDF","BC327/D (68.0kB)")</f>
        <v>BC327/D (68.0kB)</v>
      </c>
      <c r="C131" t="s">
        <v>19</v>
      </c>
      <c r="D131" t="s">
        <v>70</v>
      </c>
      <c r="E131" t="s">
        <v>99</v>
      </c>
      <c r="F131" t="s">
        <v>195</v>
      </c>
      <c r="G131" t="s">
        <v>64</v>
      </c>
      <c r="H131" t="s">
        <v>138</v>
      </c>
      <c r="I131" t="s">
        <v>125</v>
      </c>
      <c r="K131" t="s">
        <v>96</v>
      </c>
      <c r="L131" t="s">
        <v>59</v>
      </c>
      <c r="M131" t="s">
        <v>97</v>
      </c>
      <c r="N131" t="s">
        <v>103</v>
      </c>
    </row>
    <row r="132" spans="1:14" ht="12.75">
      <c r="A132" t="str">
        <f>HYPERLINK("http://www.onsemi.com/PowerSolutions/product.do?id=BC327-25RL1G","BC327-25RL1G")</f>
        <v>BC327-25RL1G</v>
      </c>
      <c r="B132" t="str">
        <f>HYPERLINK("http://www.onsemi.com/pub/Collateral/BC327-D.PDF","BC327/D (68.0kB)")</f>
        <v>BC327/D (68.0kB)</v>
      </c>
      <c r="C132" t="s">
        <v>19</v>
      </c>
      <c r="D132" t="s">
        <v>70</v>
      </c>
      <c r="E132" t="s">
        <v>99</v>
      </c>
      <c r="F132" t="s">
        <v>195</v>
      </c>
      <c r="G132" t="s">
        <v>64</v>
      </c>
      <c r="H132" t="s">
        <v>138</v>
      </c>
      <c r="I132" t="s">
        <v>125</v>
      </c>
      <c r="K132" t="s">
        <v>96</v>
      </c>
      <c r="L132" t="s">
        <v>59</v>
      </c>
      <c r="M132" t="s">
        <v>97</v>
      </c>
      <c r="N132" t="s">
        <v>103</v>
      </c>
    </row>
    <row r="133" spans="1:14" ht="12.75">
      <c r="A133" t="str">
        <f>HYPERLINK("http://www.onsemi.com/PowerSolutions/product.do?id=BC327-25ZL1G","BC327-25ZL1G")</f>
        <v>BC327-25ZL1G</v>
      </c>
      <c r="B133" t="str">
        <f>HYPERLINK("http://www.onsemi.com/pub/Collateral/BC327-D.PDF","BC327/D (68.0kB)")</f>
        <v>BC327/D (68.0kB)</v>
      </c>
      <c r="C133" t="s">
        <v>19</v>
      </c>
      <c r="D133" t="s">
        <v>70</v>
      </c>
      <c r="E133" t="s">
        <v>99</v>
      </c>
      <c r="F133" t="s">
        <v>195</v>
      </c>
      <c r="G133" t="s">
        <v>64</v>
      </c>
      <c r="H133" t="s">
        <v>138</v>
      </c>
      <c r="I133" t="s">
        <v>125</v>
      </c>
      <c r="K133" t="s">
        <v>96</v>
      </c>
      <c r="L133" t="s">
        <v>59</v>
      </c>
      <c r="M133" t="s">
        <v>97</v>
      </c>
      <c r="N133" t="s">
        <v>103</v>
      </c>
    </row>
    <row r="134" spans="1:14" ht="12.75">
      <c r="A134" t="str">
        <f>HYPERLINK("http://www.onsemi.com/PowerSolutions/product.do?id=BC327-40ZL1G","BC327-40ZL1G")</f>
        <v>BC327-40ZL1G</v>
      </c>
      <c r="B134" t="str">
        <f>HYPERLINK("http://www.onsemi.com/pub/Collateral/BC327-D.PDF","BC327/D (68.0kB)")</f>
        <v>BC327/D (68.0kB)</v>
      </c>
      <c r="C134" t="s">
        <v>19</v>
      </c>
      <c r="D134" t="s">
        <v>70</v>
      </c>
      <c r="E134" t="s">
        <v>99</v>
      </c>
      <c r="F134" t="s">
        <v>195</v>
      </c>
      <c r="G134" t="s">
        <v>64</v>
      </c>
      <c r="H134" t="s">
        <v>58</v>
      </c>
      <c r="I134" t="s">
        <v>196</v>
      </c>
      <c r="K134" t="s">
        <v>96</v>
      </c>
      <c r="L134" t="s">
        <v>59</v>
      </c>
      <c r="M134" t="s">
        <v>97</v>
      </c>
      <c r="N134" t="s">
        <v>103</v>
      </c>
    </row>
    <row r="135" spans="1:14" ht="12.75">
      <c r="A135" t="str">
        <f>HYPERLINK("http://www.onsemi.com/PowerSolutions/product.do?id=BC337-025G","BC337-025G")</f>
        <v>BC337-025G</v>
      </c>
      <c r="B135" t="str">
        <f aca="true" t="shared" si="6" ref="B135:B142">HYPERLINK("http://www.onsemi.com/pub/Collateral/BC337-D.PDF","BC337/D (69.0kB)")</f>
        <v>BC337/D (69.0kB)</v>
      </c>
      <c r="C135" t="s">
        <v>19</v>
      </c>
      <c r="D135" t="s">
        <v>70</v>
      </c>
      <c r="E135" t="s">
        <v>95</v>
      </c>
      <c r="F135" t="s">
        <v>195</v>
      </c>
      <c r="G135" t="s">
        <v>64</v>
      </c>
      <c r="H135" t="s">
        <v>138</v>
      </c>
      <c r="I135" t="s">
        <v>125</v>
      </c>
      <c r="K135" t="s">
        <v>96</v>
      </c>
      <c r="L135" t="s">
        <v>50</v>
      </c>
      <c r="M135" t="s">
        <v>97</v>
      </c>
      <c r="N135" t="s">
        <v>124</v>
      </c>
    </row>
    <row r="136" spans="1:14" ht="12.75">
      <c r="A136" t="str">
        <f>HYPERLINK("http://www.onsemi.com/PowerSolutions/product.do?id=BC337-040G","BC337-040G")</f>
        <v>BC337-040G</v>
      </c>
      <c r="B136" t="str">
        <f t="shared" si="6"/>
        <v>BC337/D (69.0kB)</v>
      </c>
      <c r="C136" t="s">
        <v>19</v>
      </c>
      <c r="D136" t="s">
        <v>70</v>
      </c>
      <c r="E136" t="s">
        <v>95</v>
      </c>
      <c r="F136" t="s">
        <v>195</v>
      </c>
      <c r="G136" t="s">
        <v>64</v>
      </c>
      <c r="H136" t="s">
        <v>58</v>
      </c>
      <c r="I136" t="s">
        <v>196</v>
      </c>
      <c r="K136" t="s">
        <v>96</v>
      </c>
      <c r="L136" t="s">
        <v>50</v>
      </c>
      <c r="M136" t="s">
        <v>97</v>
      </c>
      <c r="N136" t="s">
        <v>124</v>
      </c>
    </row>
    <row r="137" spans="1:14" ht="12.75">
      <c r="A137" t="str">
        <f>HYPERLINK("http://www.onsemi.com/PowerSolutions/product.do?id=BC337-25RL1G","BC337-25RL1G")</f>
        <v>BC337-25RL1G</v>
      </c>
      <c r="B137" t="str">
        <f t="shared" si="6"/>
        <v>BC337/D (69.0kB)</v>
      </c>
      <c r="C137" t="s">
        <v>19</v>
      </c>
      <c r="D137" t="s">
        <v>70</v>
      </c>
      <c r="E137" t="s">
        <v>95</v>
      </c>
      <c r="F137" t="s">
        <v>195</v>
      </c>
      <c r="G137" t="s">
        <v>64</v>
      </c>
      <c r="H137" t="s">
        <v>138</v>
      </c>
      <c r="I137" t="s">
        <v>125</v>
      </c>
      <c r="K137" t="s">
        <v>96</v>
      </c>
      <c r="L137" t="s">
        <v>50</v>
      </c>
      <c r="M137" t="s">
        <v>97</v>
      </c>
      <c r="N137" t="s">
        <v>124</v>
      </c>
    </row>
    <row r="138" spans="1:14" ht="12.75">
      <c r="A138" t="str">
        <f>HYPERLINK("http://www.onsemi.com/PowerSolutions/product.do?id=BC337-25ZL1G","BC337-25ZL1G")</f>
        <v>BC337-25ZL1G</v>
      </c>
      <c r="B138" t="str">
        <f t="shared" si="6"/>
        <v>BC337/D (69.0kB)</v>
      </c>
      <c r="C138" t="s">
        <v>19</v>
      </c>
      <c r="D138" t="s">
        <v>70</v>
      </c>
      <c r="E138" t="s">
        <v>95</v>
      </c>
      <c r="F138" t="s">
        <v>195</v>
      </c>
      <c r="G138" t="s">
        <v>64</v>
      </c>
      <c r="H138" t="s">
        <v>138</v>
      </c>
      <c r="I138" t="s">
        <v>125</v>
      </c>
      <c r="K138" t="s">
        <v>96</v>
      </c>
      <c r="L138" t="s">
        <v>50</v>
      </c>
      <c r="M138" t="s">
        <v>97</v>
      </c>
      <c r="N138" t="s">
        <v>124</v>
      </c>
    </row>
    <row r="139" spans="1:14" ht="12.75">
      <c r="A139" t="str">
        <f>HYPERLINK("http://www.onsemi.com/PowerSolutions/product.do?id=BC337-40RL1G","BC337-40RL1G")</f>
        <v>BC337-40RL1G</v>
      </c>
      <c r="B139" t="str">
        <f t="shared" si="6"/>
        <v>BC337/D (69.0kB)</v>
      </c>
      <c r="C139" t="s">
        <v>19</v>
      </c>
      <c r="D139" t="s">
        <v>70</v>
      </c>
      <c r="E139" t="s">
        <v>95</v>
      </c>
      <c r="F139" t="s">
        <v>195</v>
      </c>
      <c r="G139" t="s">
        <v>64</v>
      </c>
      <c r="H139" t="s">
        <v>58</v>
      </c>
      <c r="I139" t="s">
        <v>196</v>
      </c>
      <c r="K139" t="s">
        <v>96</v>
      </c>
      <c r="L139" t="s">
        <v>50</v>
      </c>
      <c r="M139" t="s">
        <v>97</v>
      </c>
      <c r="N139" t="s">
        <v>124</v>
      </c>
    </row>
    <row r="140" spans="1:14" ht="12.75">
      <c r="A140" t="str">
        <f>HYPERLINK("http://www.onsemi.com/PowerSolutions/product.do?id=BC337-40ZL1G","BC337-40ZL1G")</f>
        <v>BC337-40ZL1G</v>
      </c>
      <c r="B140" t="str">
        <f t="shared" si="6"/>
        <v>BC337/D (69.0kB)</v>
      </c>
      <c r="C140" t="s">
        <v>19</v>
      </c>
      <c r="D140" t="s">
        <v>70</v>
      </c>
      <c r="E140" t="s">
        <v>95</v>
      </c>
      <c r="F140" t="s">
        <v>195</v>
      </c>
      <c r="G140" t="s">
        <v>64</v>
      </c>
      <c r="H140" t="s">
        <v>58</v>
      </c>
      <c r="I140" t="s">
        <v>196</v>
      </c>
      <c r="K140" t="s">
        <v>96</v>
      </c>
      <c r="L140" t="s">
        <v>50</v>
      </c>
      <c r="M140" t="s">
        <v>97</v>
      </c>
      <c r="N140" t="s">
        <v>124</v>
      </c>
    </row>
    <row r="141" spans="1:14" ht="12.75">
      <c r="A141" t="str">
        <f>HYPERLINK("http://www.onsemi.com/PowerSolutions/product.do?id=BC337G","BC337G")</f>
        <v>BC337G</v>
      </c>
      <c r="B141" t="str">
        <f t="shared" si="6"/>
        <v>BC337/D (69.0kB)</v>
      </c>
      <c r="C141" t="s">
        <v>19</v>
      </c>
      <c r="D141" t="s">
        <v>70</v>
      </c>
      <c r="E141" t="s">
        <v>95</v>
      </c>
      <c r="F141" t="s">
        <v>195</v>
      </c>
      <c r="G141" t="s">
        <v>64</v>
      </c>
      <c r="H141" t="s">
        <v>23</v>
      </c>
      <c r="I141" t="s">
        <v>196</v>
      </c>
      <c r="K141" t="s">
        <v>96</v>
      </c>
      <c r="L141" t="s">
        <v>50</v>
      </c>
      <c r="M141" t="s">
        <v>97</v>
      </c>
      <c r="N141" t="s">
        <v>124</v>
      </c>
    </row>
    <row r="142" spans="1:14" ht="12.75">
      <c r="A142" t="str">
        <f>HYPERLINK("http://www.onsemi.com/PowerSolutions/product.do?id=BC337RL1G","BC337RL1G")</f>
        <v>BC337RL1G</v>
      </c>
      <c r="B142" t="str">
        <f t="shared" si="6"/>
        <v>BC337/D (69.0kB)</v>
      </c>
      <c r="C142" t="s">
        <v>19</v>
      </c>
      <c r="D142" t="s">
        <v>70</v>
      </c>
      <c r="E142" t="s">
        <v>95</v>
      </c>
      <c r="F142" t="s">
        <v>195</v>
      </c>
      <c r="G142" t="s">
        <v>64</v>
      </c>
      <c r="H142" t="s">
        <v>23</v>
      </c>
      <c r="I142" t="s">
        <v>196</v>
      </c>
      <c r="K142" t="s">
        <v>96</v>
      </c>
      <c r="L142" t="s">
        <v>50</v>
      </c>
      <c r="M142" t="s">
        <v>97</v>
      </c>
      <c r="N142" t="s">
        <v>124</v>
      </c>
    </row>
    <row r="143" spans="1:14" ht="12.75">
      <c r="A143" t="str">
        <f>HYPERLINK("http://www.onsemi.com/PowerSolutions/product.do?id=BC368ZL1G","BC368ZL1G")</f>
        <v>BC368ZL1G</v>
      </c>
      <c r="B143" t="str">
        <f>HYPERLINK("http://www.onsemi.com/pub/Collateral/BC368-D.PDF","BC368/D (60.0kB)")</f>
        <v>BC368/D (60.0kB)</v>
      </c>
      <c r="C143" t="s">
        <v>19</v>
      </c>
      <c r="D143" t="s">
        <v>70</v>
      </c>
      <c r="E143" t="s">
        <v>197</v>
      </c>
      <c r="F143" t="s">
        <v>31</v>
      </c>
      <c r="G143" t="s">
        <v>32</v>
      </c>
      <c r="H143" t="s">
        <v>198</v>
      </c>
      <c r="I143" t="s">
        <v>199</v>
      </c>
      <c r="J143" t="s">
        <v>200</v>
      </c>
      <c r="K143" t="s">
        <v>96</v>
      </c>
      <c r="L143" t="s">
        <v>50</v>
      </c>
      <c r="M143" t="s">
        <v>97</v>
      </c>
      <c r="N143" t="s">
        <v>201</v>
      </c>
    </row>
    <row r="144" spans="1:14" ht="12.75">
      <c r="A144" t="str">
        <f>HYPERLINK("http://www.onsemi.com/PowerSolutions/product.do?id=BC369ZL1G","BC369ZL1G")</f>
        <v>BC369ZL1G</v>
      </c>
      <c r="B144" t="str">
        <f>HYPERLINK("http://www.onsemi.com/pub/Collateral/BC368-D.PDF","BC368/D (60.0kB)")</f>
        <v>BC368/D (60.0kB)</v>
      </c>
      <c r="C144" t="s">
        <v>19</v>
      </c>
      <c r="D144" t="s">
        <v>70</v>
      </c>
      <c r="E144" t="s">
        <v>202</v>
      </c>
      <c r="F144" t="s">
        <v>31</v>
      </c>
      <c r="G144" t="s">
        <v>32</v>
      </c>
      <c r="H144" t="s">
        <v>198</v>
      </c>
      <c r="I144" t="s">
        <v>199</v>
      </c>
      <c r="J144" t="s">
        <v>200</v>
      </c>
      <c r="K144" t="s">
        <v>96</v>
      </c>
      <c r="L144" t="s">
        <v>59</v>
      </c>
      <c r="M144" t="s">
        <v>97</v>
      </c>
      <c r="N144" t="s">
        <v>201</v>
      </c>
    </row>
    <row r="145" spans="1:14" ht="12.75">
      <c r="A145" t="str">
        <f>HYPERLINK("http://www.onsemi.com/PowerSolutions/product.do?id=BC489AG","BC489AG")</f>
        <v>BC489AG</v>
      </c>
      <c r="B145" t="str">
        <f>HYPERLINK("http://www.onsemi.com/pub/Collateral/BC489-D.PDF","BC489/D (81.0kB)")</f>
        <v>BC489/D (81.0kB)</v>
      </c>
      <c r="C145" t="s">
        <v>19</v>
      </c>
      <c r="D145" t="s">
        <v>70</v>
      </c>
      <c r="E145" t="s">
        <v>197</v>
      </c>
      <c r="F145" t="s">
        <v>31</v>
      </c>
      <c r="G145" t="s">
        <v>111</v>
      </c>
      <c r="H145" t="s">
        <v>23</v>
      </c>
      <c r="I145" t="s">
        <v>58</v>
      </c>
      <c r="K145" t="s">
        <v>96</v>
      </c>
      <c r="L145" t="s">
        <v>50</v>
      </c>
      <c r="M145" t="s">
        <v>97</v>
      </c>
      <c r="N145" t="s">
        <v>201</v>
      </c>
    </row>
    <row r="146" spans="1:14" ht="12.75">
      <c r="A146" t="str">
        <f>HYPERLINK("http://www.onsemi.com/PowerSolutions/product.do?id=BC490G","BC490G")</f>
        <v>BC490G</v>
      </c>
      <c r="B146" t="str">
        <f>HYPERLINK("http://www.onsemi.com/pub/Collateral/BC490-D.PDF","BC490/D (78.0kB)")</f>
        <v>BC490/D (78.0kB)</v>
      </c>
      <c r="C146" t="s">
        <v>19</v>
      </c>
      <c r="D146" t="s">
        <v>70</v>
      </c>
      <c r="E146" t="s">
        <v>202</v>
      </c>
      <c r="F146" t="s">
        <v>31</v>
      </c>
      <c r="G146" t="s">
        <v>111</v>
      </c>
      <c r="H146" t="s">
        <v>73</v>
      </c>
      <c r="I146" t="s">
        <v>125</v>
      </c>
      <c r="K146" t="s">
        <v>96</v>
      </c>
      <c r="L146" t="s">
        <v>59</v>
      </c>
      <c r="M146" t="s">
        <v>97</v>
      </c>
      <c r="N146" t="s">
        <v>201</v>
      </c>
    </row>
    <row r="147" spans="1:14" ht="12.75">
      <c r="A147" t="str">
        <f>HYPERLINK("http://www.onsemi.com/PowerSolutions/product.do?id=BC546BG","BC546BG")</f>
        <v>BC546BG</v>
      </c>
      <c r="B147" t="str">
        <f aca="true" t="shared" si="7" ref="B147:B159">HYPERLINK("http://www.onsemi.com/pub/Collateral/BC546-D.PDF","BC546/D (72.0kB)")</f>
        <v>BC546/D (72.0kB)</v>
      </c>
      <c r="C147" t="s">
        <v>19</v>
      </c>
      <c r="D147" t="s">
        <v>70</v>
      </c>
      <c r="E147" t="s">
        <v>95</v>
      </c>
      <c r="F147" t="s">
        <v>63</v>
      </c>
      <c r="G147" t="s">
        <v>200</v>
      </c>
      <c r="H147" t="s">
        <v>33</v>
      </c>
      <c r="I147" t="s">
        <v>65</v>
      </c>
      <c r="J147" t="s">
        <v>88</v>
      </c>
      <c r="K147" t="s">
        <v>96</v>
      </c>
      <c r="L147" t="s">
        <v>50</v>
      </c>
      <c r="M147" t="s">
        <v>97</v>
      </c>
      <c r="N147" t="s">
        <v>103</v>
      </c>
    </row>
    <row r="148" spans="1:14" ht="12.75">
      <c r="A148" t="str">
        <f>HYPERLINK("http://www.onsemi.com/PowerSolutions/product.do?id=BC546BRL1","BC546BRL1")</f>
        <v>BC546BRL1</v>
      </c>
      <c r="B148" t="str">
        <f t="shared" si="7"/>
        <v>BC546/D (72.0kB)</v>
      </c>
      <c r="C148" t="s">
        <v>69</v>
      </c>
      <c r="D148" t="s">
        <v>70</v>
      </c>
      <c r="E148" t="s">
        <v>95</v>
      </c>
      <c r="F148" t="s">
        <v>63</v>
      </c>
      <c r="G148" t="s">
        <v>200</v>
      </c>
      <c r="H148" t="s">
        <v>33</v>
      </c>
      <c r="I148" t="s">
        <v>65</v>
      </c>
      <c r="J148" t="s">
        <v>88</v>
      </c>
      <c r="K148" t="s">
        <v>96</v>
      </c>
      <c r="L148" t="s">
        <v>50</v>
      </c>
      <c r="M148" t="s">
        <v>97</v>
      </c>
      <c r="N148" t="s">
        <v>103</v>
      </c>
    </row>
    <row r="149" spans="1:14" ht="12.75">
      <c r="A149" t="str">
        <f>HYPERLINK("http://www.onsemi.com/PowerSolutions/product.do?id=BC546BRL1G","BC546BRL1G")</f>
        <v>BC546BRL1G</v>
      </c>
      <c r="B149" t="str">
        <f t="shared" si="7"/>
        <v>BC546/D (72.0kB)</v>
      </c>
      <c r="C149" t="s">
        <v>19</v>
      </c>
      <c r="D149" t="s">
        <v>70</v>
      </c>
      <c r="E149" t="s">
        <v>95</v>
      </c>
      <c r="F149" t="s">
        <v>63</v>
      </c>
      <c r="G149" t="s">
        <v>200</v>
      </c>
      <c r="H149" t="s">
        <v>33</v>
      </c>
      <c r="I149" t="s">
        <v>65</v>
      </c>
      <c r="J149" t="s">
        <v>88</v>
      </c>
      <c r="K149" t="s">
        <v>96</v>
      </c>
      <c r="L149" t="s">
        <v>50</v>
      </c>
      <c r="M149" t="s">
        <v>97</v>
      </c>
      <c r="N149" t="s">
        <v>103</v>
      </c>
    </row>
    <row r="150" spans="1:14" ht="12.75">
      <c r="A150" t="str">
        <f>HYPERLINK("http://www.onsemi.com/PowerSolutions/product.do?id=BC546BZL1G","BC546BZL1G")</f>
        <v>BC546BZL1G</v>
      </c>
      <c r="B150" t="str">
        <f t="shared" si="7"/>
        <v>BC546/D (72.0kB)</v>
      </c>
      <c r="C150" t="s">
        <v>19</v>
      </c>
      <c r="D150" t="s">
        <v>70</v>
      </c>
      <c r="E150" t="s">
        <v>95</v>
      </c>
      <c r="F150" t="s">
        <v>63</v>
      </c>
      <c r="G150" t="s">
        <v>200</v>
      </c>
      <c r="H150" t="s">
        <v>33</v>
      </c>
      <c r="I150" t="s">
        <v>65</v>
      </c>
      <c r="J150" t="s">
        <v>88</v>
      </c>
      <c r="K150" t="s">
        <v>96</v>
      </c>
      <c r="L150" t="s">
        <v>50</v>
      </c>
      <c r="M150" t="s">
        <v>97</v>
      </c>
      <c r="N150" t="s">
        <v>103</v>
      </c>
    </row>
    <row r="151" spans="1:14" ht="12.75">
      <c r="A151" t="str">
        <f>HYPERLINK("http://www.onsemi.com/PowerSolutions/product.do?id=BC547BG","BC547BG")</f>
        <v>BC547BG</v>
      </c>
      <c r="B151" t="str">
        <f t="shared" si="7"/>
        <v>BC546/D (72.0kB)</v>
      </c>
      <c r="C151" t="s">
        <v>19</v>
      </c>
      <c r="D151" t="s">
        <v>70</v>
      </c>
      <c r="E151" t="s">
        <v>95</v>
      </c>
      <c r="F151" t="s">
        <v>63</v>
      </c>
      <c r="G151" t="s">
        <v>64</v>
      </c>
      <c r="H151" t="s">
        <v>33</v>
      </c>
      <c r="I151" t="s">
        <v>65</v>
      </c>
      <c r="J151" t="s">
        <v>88</v>
      </c>
      <c r="K151" t="s">
        <v>96</v>
      </c>
      <c r="L151" t="s">
        <v>50</v>
      </c>
      <c r="M151" t="s">
        <v>97</v>
      </c>
      <c r="N151" t="s">
        <v>103</v>
      </c>
    </row>
    <row r="152" spans="1:14" ht="12.75">
      <c r="A152" t="str">
        <f>HYPERLINK("http://www.onsemi.com/PowerSolutions/product.do?id=BC547BRL1G","BC547BRL1G")</f>
        <v>BC547BRL1G</v>
      </c>
      <c r="B152" t="str">
        <f t="shared" si="7"/>
        <v>BC546/D (72.0kB)</v>
      </c>
      <c r="C152" t="s">
        <v>19</v>
      </c>
      <c r="D152" t="s">
        <v>70</v>
      </c>
      <c r="E152" t="s">
        <v>95</v>
      </c>
      <c r="F152" t="s">
        <v>63</v>
      </c>
      <c r="G152" t="s">
        <v>64</v>
      </c>
      <c r="H152" t="s">
        <v>33</v>
      </c>
      <c r="I152" t="s">
        <v>65</v>
      </c>
      <c r="J152" t="s">
        <v>88</v>
      </c>
      <c r="K152" t="s">
        <v>96</v>
      </c>
      <c r="L152" t="s">
        <v>50</v>
      </c>
      <c r="M152" t="s">
        <v>97</v>
      </c>
      <c r="N152" t="s">
        <v>103</v>
      </c>
    </row>
    <row r="153" spans="1:14" ht="12.75">
      <c r="A153" t="str">
        <f>HYPERLINK("http://www.onsemi.com/PowerSolutions/product.do?id=BC547BZL1G","BC547BZL1G")</f>
        <v>BC547BZL1G</v>
      </c>
      <c r="B153" t="str">
        <f t="shared" si="7"/>
        <v>BC546/D (72.0kB)</v>
      </c>
      <c r="C153" t="s">
        <v>19</v>
      </c>
      <c r="D153" t="s">
        <v>70</v>
      </c>
      <c r="E153" t="s">
        <v>95</v>
      </c>
      <c r="F153" t="s">
        <v>63</v>
      </c>
      <c r="G153" t="s">
        <v>64</v>
      </c>
      <c r="H153" t="s">
        <v>33</v>
      </c>
      <c r="I153" t="s">
        <v>65</v>
      </c>
      <c r="J153" t="s">
        <v>88</v>
      </c>
      <c r="K153" t="s">
        <v>96</v>
      </c>
      <c r="L153" t="s">
        <v>50</v>
      </c>
      <c r="M153" t="s">
        <v>97</v>
      </c>
      <c r="N153" t="s">
        <v>103</v>
      </c>
    </row>
    <row r="154" spans="1:14" ht="12.75">
      <c r="A154" t="str">
        <f>HYPERLINK("http://www.onsemi.com/PowerSolutions/product.do?id=BC547CG","BC547CG")</f>
        <v>BC547CG</v>
      </c>
      <c r="B154" t="str">
        <f t="shared" si="7"/>
        <v>BC546/D (72.0kB)</v>
      </c>
      <c r="C154" t="s">
        <v>19</v>
      </c>
      <c r="D154" t="s">
        <v>70</v>
      </c>
      <c r="E154" t="s">
        <v>95</v>
      </c>
      <c r="F154" t="s">
        <v>63</v>
      </c>
      <c r="G154" t="s">
        <v>64</v>
      </c>
      <c r="H154" t="s">
        <v>68</v>
      </c>
      <c r="I154" t="s">
        <v>121</v>
      </c>
      <c r="J154" t="s">
        <v>88</v>
      </c>
      <c r="K154" t="s">
        <v>96</v>
      </c>
      <c r="L154" t="s">
        <v>50</v>
      </c>
      <c r="M154" t="s">
        <v>97</v>
      </c>
      <c r="N154" t="s">
        <v>103</v>
      </c>
    </row>
    <row r="155" spans="1:14" ht="12.75">
      <c r="A155" t="str">
        <f>HYPERLINK("http://www.onsemi.com/PowerSolutions/product.do?id=BC547CZL1G","BC547CZL1G")</f>
        <v>BC547CZL1G</v>
      </c>
      <c r="B155" t="str">
        <f t="shared" si="7"/>
        <v>BC546/D (72.0kB)</v>
      </c>
      <c r="C155" t="s">
        <v>19</v>
      </c>
      <c r="D155" t="s">
        <v>70</v>
      </c>
      <c r="E155" t="s">
        <v>95</v>
      </c>
      <c r="F155" t="s">
        <v>63</v>
      </c>
      <c r="G155" t="s">
        <v>64</v>
      </c>
      <c r="H155" t="s">
        <v>68</v>
      </c>
      <c r="I155" t="s">
        <v>121</v>
      </c>
      <c r="J155" t="s">
        <v>88</v>
      </c>
      <c r="K155" t="s">
        <v>96</v>
      </c>
      <c r="L155" t="s">
        <v>50</v>
      </c>
      <c r="M155" t="s">
        <v>97</v>
      </c>
      <c r="N155" t="s">
        <v>103</v>
      </c>
    </row>
    <row r="156" spans="1:14" ht="12.75">
      <c r="A156" t="str">
        <f>HYPERLINK("http://www.onsemi.com/PowerSolutions/product.do?id=BC548BG","BC548BG")</f>
        <v>BC548BG</v>
      </c>
      <c r="B156" t="str">
        <f t="shared" si="7"/>
        <v>BC546/D (72.0kB)</v>
      </c>
      <c r="C156" t="s">
        <v>19</v>
      </c>
      <c r="D156" t="s">
        <v>70</v>
      </c>
      <c r="E156" t="s">
        <v>95</v>
      </c>
      <c r="F156" t="s">
        <v>63</v>
      </c>
      <c r="G156" t="s">
        <v>86</v>
      </c>
      <c r="H156" t="s">
        <v>33</v>
      </c>
      <c r="I156" t="s">
        <v>65</v>
      </c>
      <c r="J156" t="s">
        <v>88</v>
      </c>
      <c r="K156" t="s">
        <v>96</v>
      </c>
      <c r="L156" t="s">
        <v>50</v>
      </c>
      <c r="M156" t="s">
        <v>97</v>
      </c>
      <c r="N156" t="s">
        <v>103</v>
      </c>
    </row>
    <row r="157" spans="1:14" ht="12.75">
      <c r="A157" t="str">
        <f>HYPERLINK("http://www.onsemi.com/PowerSolutions/product.do?id=BC548BRL1G","BC548BRL1G")</f>
        <v>BC548BRL1G</v>
      </c>
      <c r="B157" t="str">
        <f t="shared" si="7"/>
        <v>BC546/D (72.0kB)</v>
      </c>
      <c r="C157" t="s">
        <v>19</v>
      </c>
      <c r="D157" t="s">
        <v>70</v>
      </c>
      <c r="E157" t="s">
        <v>95</v>
      </c>
      <c r="F157" t="s">
        <v>63</v>
      </c>
      <c r="G157" t="s">
        <v>86</v>
      </c>
      <c r="H157" t="s">
        <v>33</v>
      </c>
      <c r="I157" t="s">
        <v>65</v>
      </c>
      <c r="J157" t="s">
        <v>88</v>
      </c>
      <c r="K157" t="s">
        <v>96</v>
      </c>
      <c r="L157" t="s">
        <v>50</v>
      </c>
      <c r="M157" t="s">
        <v>97</v>
      </c>
      <c r="N157" t="s">
        <v>103</v>
      </c>
    </row>
    <row r="158" spans="1:14" ht="12.75">
      <c r="A158" t="str">
        <f>HYPERLINK("http://www.onsemi.com/PowerSolutions/product.do?id=BC548BZL1G","BC548BZL1G")</f>
        <v>BC548BZL1G</v>
      </c>
      <c r="B158" t="str">
        <f t="shared" si="7"/>
        <v>BC546/D (72.0kB)</v>
      </c>
      <c r="C158" t="s">
        <v>19</v>
      </c>
      <c r="D158" t="s">
        <v>70</v>
      </c>
      <c r="E158" t="s">
        <v>95</v>
      </c>
      <c r="F158" t="s">
        <v>63</v>
      </c>
      <c r="G158" t="s">
        <v>86</v>
      </c>
      <c r="H158" t="s">
        <v>33</v>
      </c>
      <c r="I158" t="s">
        <v>65</v>
      </c>
      <c r="J158" t="s">
        <v>88</v>
      </c>
      <c r="K158" t="s">
        <v>96</v>
      </c>
      <c r="L158" t="s">
        <v>50</v>
      </c>
      <c r="M158" t="s">
        <v>97</v>
      </c>
      <c r="N158" t="s">
        <v>103</v>
      </c>
    </row>
    <row r="159" spans="1:14" ht="12.75">
      <c r="A159" t="str">
        <f>HYPERLINK("http://www.onsemi.com/PowerSolutions/product.do?id=BC548CG","BC548CG")</f>
        <v>BC548CG</v>
      </c>
      <c r="B159" t="str">
        <f t="shared" si="7"/>
        <v>BC546/D (72.0kB)</v>
      </c>
      <c r="C159" t="s">
        <v>19</v>
      </c>
      <c r="D159" t="s">
        <v>70</v>
      </c>
      <c r="E159" t="s">
        <v>95</v>
      </c>
      <c r="F159" t="s">
        <v>63</v>
      </c>
      <c r="G159" t="s">
        <v>86</v>
      </c>
      <c r="H159" t="s">
        <v>68</v>
      </c>
      <c r="I159" t="s">
        <v>121</v>
      </c>
      <c r="J159" t="s">
        <v>88</v>
      </c>
      <c r="K159" t="s">
        <v>96</v>
      </c>
      <c r="L159" t="s">
        <v>50</v>
      </c>
      <c r="M159" t="s">
        <v>97</v>
      </c>
      <c r="N159" t="s">
        <v>103</v>
      </c>
    </row>
    <row r="160" spans="1:14" ht="12.75">
      <c r="A160" t="str">
        <f>HYPERLINK("http://www.onsemi.com/PowerSolutions/product.do?id=BC549CG","BC549CG")</f>
        <v>BC549CG</v>
      </c>
      <c r="B160" t="str">
        <f>HYPERLINK("http://www.onsemi.com/pub/Collateral/BC549B-D.PDF","BC549B/D (53.0kB)")</f>
        <v>BC549B/D (53.0kB)</v>
      </c>
      <c r="C160" t="s">
        <v>19</v>
      </c>
      <c r="D160" t="s">
        <v>70</v>
      </c>
      <c r="E160" t="s">
        <v>95</v>
      </c>
      <c r="F160" t="s">
        <v>63</v>
      </c>
      <c r="G160" t="s">
        <v>86</v>
      </c>
      <c r="H160" t="s">
        <v>68</v>
      </c>
      <c r="I160" t="s">
        <v>121</v>
      </c>
      <c r="K160" t="s">
        <v>96</v>
      </c>
      <c r="L160" t="s">
        <v>50</v>
      </c>
      <c r="M160" t="s">
        <v>97</v>
      </c>
      <c r="N160" t="s">
        <v>103</v>
      </c>
    </row>
    <row r="161" spans="1:14" ht="12.75">
      <c r="A161" t="str">
        <f>HYPERLINK("http://www.onsemi.com/PowerSolutions/product.do?id=BC550CG","BC550CG")</f>
        <v>BC550CG</v>
      </c>
      <c r="B161" t="str">
        <f>HYPERLINK("http://www.onsemi.com/pub/Collateral/BC550C-D.PDF","BC550C/D (59.0kB)")</f>
        <v>BC550C/D (59.0kB)</v>
      </c>
      <c r="C161" t="s">
        <v>19</v>
      </c>
      <c r="D161" t="s">
        <v>70</v>
      </c>
      <c r="E161" t="s">
        <v>95</v>
      </c>
      <c r="F161" t="s">
        <v>63</v>
      </c>
      <c r="G161" t="s">
        <v>64</v>
      </c>
      <c r="H161" t="s">
        <v>68</v>
      </c>
      <c r="I161" t="s">
        <v>121</v>
      </c>
      <c r="K161" t="s">
        <v>96</v>
      </c>
      <c r="L161" t="s">
        <v>50</v>
      </c>
      <c r="M161" t="s">
        <v>97</v>
      </c>
      <c r="N161" t="s">
        <v>103</v>
      </c>
    </row>
    <row r="162" spans="1:14" ht="12.75">
      <c r="A162" t="str">
        <f>HYPERLINK("http://www.onsemi.com/PowerSolutions/product.do?id=BC556BG","BC556BG")</f>
        <v>BC556BG</v>
      </c>
      <c r="B162" t="str">
        <f aca="true" t="shared" si="8" ref="B162:B169">HYPERLINK("http://www.onsemi.com/pub/Collateral/BC556B-D.PDF","BC556B/D (81.0kB)")</f>
        <v>BC556B/D (81.0kB)</v>
      </c>
      <c r="C162" t="s">
        <v>19</v>
      </c>
      <c r="D162" t="s">
        <v>70</v>
      </c>
      <c r="E162" t="s">
        <v>99</v>
      </c>
      <c r="F162" t="s">
        <v>63</v>
      </c>
      <c r="G162" t="s">
        <v>200</v>
      </c>
      <c r="H162" t="s">
        <v>187</v>
      </c>
      <c r="I162" t="s">
        <v>193</v>
      </c>
      <c r="K162" t="s">
        <v>96</v>
      </c>
      <c r="L162" t="s">
        <v>59</v>
      </c>
      <c r="M162" t="s">
        <v>97</v>
      </c>
      <c r="N162" t="s">
        <v>103</v>
      </c>
    </row>
    <row r="163" spans="1:14" ht="12.75">
      <c r="A163" t="str">
        <f>HYPERLINK("http://www.onsemi.com/PowerSolutions/product.do?id=BC557AZL1G","BC557AZL1G")</f>
        <v>BC557AZL1G</v>
      </c>
      <c r="B163" t="str">
        <f t="shared" si="8"/>
        <v>BC556B/D (81.0kB)</v>
      </c>
      <c r="C163" t="s">
        <v>19</v>
      </c>
      <c r="D163" t="s">
        <v>70</v>
      </c>
      <c r="E163" t="s">
        <v>99</v>
      </c>
      <c r="F163" t="s">
        <v>63</v>
      </c>
      <c r="G163" t="s">
        <v>64</v>
      </c>
      <c r="H163" t="s">
        <v>24</v>
      </c>
      <c r="I163" t="s">
        <v>42</v>
      </c>
      <c r="K163" t="s">
        <v>96</v>
      </c>
      <c r="L163" t="s">
        <v>59</v>
      </c>
      <c r="M163" t="s">
        <v>97</v>
      </c>
      <c r="N163" t="s">
        <v>103</v>
      </c>
    </row>
    <row r="164" spans="1:14" ht="12.75">
      <c r="A164" t="str">
        <f>HYPERLINK("http://www.onsemi.com/PowerSolutions/product.do?id=BC557BG","BC557BG")</f>
        <v>BC557BG</v>
      </c>
      <c r="B164" t="str">
        <f t="shared" si="8"/>
        <v>BC556B/D (81.0kB)</v>
      </c>
      <c r="C164" t="s">
        <v>19</v>
      </c>
      <c r="D164" t="s">
        <v>70</v>
      </c>
      <c r="E164" t="s">
        <v>99</v>
      </c>
      <c r="F164" t="s">
        <v>63</v>
      </c>
      <c r="G164" t="s">
        <v>64</v>
      </c>
      <c r="H164" t="s">
        <v>187</v>
      </c>
      <c r="I164" t="s">
        <v>193</v>
      </c>
      <c r="K164" t="s">
        <v>96</v>
      </c>
      <c r="L164" t="s">
        <v>59</v>
      </c>
      <c r="M164" t="s">
        <v>97</v>
      </c>
      <c r="N164" t="s">
        <v>103</v>
      </c>
    </row>
    <row r="165" spans="1:14" ht="12.75">
      <c r="A165" t="str">
        <f>HYPERLINK("http://www.onsemi.com/PowerSolutions/product.do?id=BC557BRL1G","BC557BRL1G")</f>
        <v>BC557BRL1G</v>
      </c>
      <c r="B165" t="str">
        <f t="shared" si="8"/>
        <v>BC556B/D (81.0kB)</v>
      </c>
      <c r="C165" t="s">
        <v>19</v>
      </c>
      <c r="D165" t="s">
        <v>70</v>
      </c>
      <c r="E165" t="s">
        <v>99</v>
      </c>
      <c r="F165" t="s">
        <v>63</v>
      </c>
      <c r="G165" t="s">
        <v>64</v>
      </c>
      <c r="H165" t="s">
        <v>187</v>
      </c>
      <c r="I165" t="s">
        <v>193</v>
      </c>
      <c r="K165" t="s">
        <v>96</v>
      </c>
      <c r="L165" t="s">
        <v>59</v>
      </c>
      <c r="M165" t="s">
        <v>97</v>
      </c>
      <c r="N165" t="s">
        <v>103</v>
      </c>
    </row>
    <row r="166" spans="1:14" ht="12.75">
      <c r="A166" t="str">
        <f>HYPERLINK("http://www.onsemi.com/PowerSolutions/product.do?id=BC557BZL1G","BC557BZL1G")</f>
        <v>BC557BZL1G</v>
      </c>
      <c r="B166" t="str">
        <f t="shared" si="8"/>
        <v>BC556B/D (81.0kB)</v>
      </c>
      <c r="C166" t="s">
        <v>19</v>
      </c>
      <c r="D166" t="s">
        <v>70</v>
      </c>
      <c r="E166" t="s">
        <v>99</v>
      </c>
      <c r="F166" t="s">
        <v>63</v>
      </c>
      <c r="G166" t="s">
        <v>64</v>
      </c>
      <c r="H166" t="s">
        <v>187</v>
      </c>
      <c r="I166" t="s">
        <v>193</v>
      </c>
      <c r="K166" t="s">
        <v>96</v>
      </c>
      <c r="L166" t="s">
        <v>59</v>
      </c>
      <c r="M166" t="s">
        <v>97</v>
      </c>
      <c r="N166" t="s">
        <v>103</v>
      </c>
    </row>
    <row r="167" spans="1:14" ht="12.75">
      <c r="A167" t="str">
        <f>HYPERLINK("http://www.onsemi.com/PowerSolutions/product.do?id=BC557CG","BC557CG")</f>
        <v>BC557CG</v>
      </c>
      <c r="B167" t="str">
        <f t="shared" si="8"/>
        <v>BC556B/D (81.0kB)</v>
      </c>
      <c r="C167" t="s">
        <v>19</v>
      </c>
      <c r="D167" t="s">
        <v>70</v>
      </c>
      <c r="E167" t="s">
        <v>99</v>
      </c>
      <c r="F167" t="s">
        <v>63</v>
      </c>
      <c r="G167" t="s">
        <v>64</v>
      </c>
      <c r="H167" t="s">
        <v>68</v>
      </c>
      <c r="I167" t="s">
        <v>121</v>
      </c>
      <c r="K167" t="s">
        <v>96</v>
      </c>
      <c r="L167" t="s">
        <v>59</v>
      </c>
      <c r="M167" t="s">
        <v>97</v>
      </c>
      <c r="N167" t="s">
        <v>103</v>
      </c>
    </row>
    <row r="168" spans="1:14" ht="12.75">
      <c r="A168" t="str">
        <f>HYPERLINK("http://www.onsemi.com/PowerSolutions/product.do?id=BC557CZL1G","BC557CZL1G")</f>
        <v>BC557CZL1G</v>
      </c>
      <c r="B168" t="str">
        <f t="shared" si="8"/>
        <v>BC556B/D (81.0kB)</v>
      </c>
      <c r="C168" t="s">
        <v>19</v>
      </c>
      <c r="D168" t="s">
        <v>70</v>
      </c>
      <c r="E168" t="s">
        <v>99</v>
      </c>
      <c r="F168" t="s">
        <v>63</v>
      </c>
      <c r="G168" t="s">
        <v>64</v>
      </c>
      <c r="H168" t="s">
        <v>68</v>
      </c>
      <c r="I168" t="s">
        <v>121</v>
      </c>
      <c r="K168" t="s">
        <v>96</v>
      </c>
      <c r="L168" t="s">
        <v>59</v>
      </c>
      <c r="M168" t="s">
        <v>97</v>
      </c>
      <c r="N168" t="s">
        <v>103</v>
      </c>
    </row>
    <row r="169" spans="1:14" ht="12.75">
      <c r="A169" t="str">
        <f>HYPERLINK("http://www.onsemi.com/PowerSolutions/product.do?id=BC558BRLG","BC558BRLG")</f>
        <v>BC558BRLG</v>
      </c>
      <c r="B169" t="str">
        <f t="shared" si="8"/>
        <v>BC556B/D (81.0kB)</v>
      </c>
      <c r="C169" t="s">
        <v>19</v>
      </c>
      <c r="D169" t="s">
        <v>70</v>
      </c>
      <c r="E169" t="s">
        <v>99</v>
      </c>
      <c r="F169" t="s">
        <v>63</v>
      </c>
      <c r="G169" t="s">
        <v>86</v>
      </c>
      <c r="H169" t="s">
        <v>187</v>
      </c>
      <c r="I169" t="s">
        <v>193</v>
      </c>
      <c r="K169" t="s">
        <v>96</v>
      </c>
      <c r="L169" t="s">
        <v>59</v>
      </c>
      <c r="M169" t="s">
        <v>97</v>
      </c>
      <c r="N169" t="s">
        <v>103</v>
      </c>
    </row>
    <row r="170" spans="1:14" ht="12.75">
      <c r="A170" t="str">
        <f>HYPERLINK("http://www.onsemi.com/PowerSolutions/product.do?id=BC560CG","BC560CG")</f>
        <v>BC560CG</v>
      </c>
      <c r="B170" t="str">
        <f>HYPERLINK("http://www.onsemi.com/pub/Collateral/BC560C-D.PDF","BC560C/D (59.0kB)")</f>
        <v>BC560C/D (59.0kB)</v>
      </c>
      <c r="C170" t="s">
        <v>19</v>
      </c>
      <c r="D170" t="s">
        <v>70</v>
      </c>
      <c r="E170" t="s">
        <v>99</v>
      </c>
      <c r="F170" t="s">
        <v>63</v>
      </c>
      <c r="G170" t="s">
        <v>64</v>
      </c>
      <c r="H170" t="s">
        <v>203</v>
      </c>
      <c r="I170" t="s">
        <v>121</v>
      </c>
      <c r="K170" t="s">
        <v>96</v>
      </c>
      <c r="L170" t="s">
        <v>59</v>
      </c>
      <c r="M170" t="s">
        <v>97</v>
      </c>
      <c r="N170" t="s">
        <v>103</v>
      </c>
    </row>
    <row r="171" spans="1:14" ht="12.75">
      <c r="A171" t="str">
        <f>HYPERLINK("http://www.onsemi.com/PowerSolutions/product.do?id=BC637G","BC637G")</f>
        <v>BC637G</v>
      </c>
      <c r="B171" t="str">
        <f>HYPERLINK("http://www.onsemi.com/pub/Collateral/BC635-D.PDF","BC635/D (60.0kB)")</f>
        <v>BC635/D (60.0kB)</v>
      </c>
      <c r="C171" t="s">
        <v>19</v>
      </c>
      <c r="D171" t="s">
        <v>70</v>
      </c>
      <c r="E171" t="s">
        <v>95</v>
      </c>
      <c r="F171" t="s">
        <v>135</v>
      </c>
      <c r="G171" t="s">
        <v>73</v>
      </c>
      <c r="H171" t="s">
        <v>41</v>
      </c>
      <c r="I171" t="s">
        <v>138</v>
      </c>
      <c r="K171" t="s">
        <v>96</v>
      </c>
      <c r="L171" t="s">
        <v>50</v>
      </c>
      <c r="M171" t="s">
        <v>97</v>
      </c>
      <c r="N171" t="s">
        <v>201</v>
      </c>
    </row>
    <row r="172" spans="1:14" ht="12.75">
      <c r="A172" t="str">
        <f>HYPERLINK("http://www.onsemi.com/PowerSolutions/product.do?id=BC639-16ZL1G","BC639-16ZL1G")</f>
        <v>BC639-16ZL1G</v>
      </c>
      <c r="B172" t="str">
        <f>HYPERLINK("http://www.onsemi.com/pub/Collateral/BC635-D.PDF","BC635/D (60.0kB)")</f>
        <v>BC635/D (60.0kB)</v>
      </c>
      <c r="C172" t="s">
        <v>19</v>
      </c>
      <c r="D172" t="s">
        <v>70</v>
      </c>
      <c r="E172" t="s">
        <v>95</v>
      </c>
      <c r="F172" t="s">
        <v>135</v>
      </c>
      <c r="G172" t="s">
        <v>111</v>
      </c>
      <c r="H172" t="s">
        <v>23</v>
      </c>
      <c r="I172" t="s">
        <v>58</v>
      </c>
      <c r="K172" t="s">
        <v>96</v>
      </c>
      <c r="L172" t="s">
        <v>50</v>
      </c>
      <c r="M172" t="s">
        <v>97</v>
      </c>
      <c r="N172" t="s">
        <v>204</v>
      </c>
    </row>
    <row r="173" spans="1:14" ht="12.75">
      <c r="A173" t="str">
        <f>HYPERLINK("http://www.onsemi.com/PowerSolutions/product.do?id=BC639G","BC639G")</f>
        <v>BC639G</v>
      </c>
      <c r="B173" t="str">
        <f>HYPERLINK("http://www.onsemi.com/pub/Collateral/BC635-D.PDF","BC635/D (60.0kB)")</f>
        <v>BC635/D (60.0kB)</v>
      </c>
      <c r="C173" t="s">
        <v>19</v>
      </c>
      <c r="D173" t="s">
        <v>70</v>
      </c>
      <c r="E173" t="s">
        <v>95</v>
      </c>
      <c r="F173" t="s">
        <v>135</v>
      </c>
      <c r="G173" t="s">
        <v>111</v>
      </c>
      <c r="H173" t="s">
        <v>41</v>
      </c>
      <c r="I173" t="s">
        <v>138</v>
      </c>
      <c r="K173" t="s">
        <v>96</v>
      </c>
      <c r="L173" t="s">
        <v>50</v>
      </c>
      <c r="M173" t="s">
        <v>97</v>
      </c>
      <c r="N173" t="s">
        <v>100</v>
      </c>
    </row>
    <row r="174" spans="1:14" ht="12.75">
      <c r="A174" t="str">
        <f>HYPERLINK("http://www.onsemi.com/PowerSolutions/product.do?id=BC639RL1G","BC639RL1G")</f>
        <v>BC639RL1G</v>
      </c>
      <c r="B174" t="str">
        <f>HYPERLINK("http://www.onsemi.com/pub/Collateral/BC635-D.PDF","BC635/D (60.0kB)")</f>
        <v>BC635/D (60.0kB)</v>
      </c>
      <c r="C174" t="s">
        <v>19</v>
      </c>
      <c r="D174" t="s">
        <v>70</v>
      </c>
      <c r="E174" t="s">
        <v>95</v>
      </c>
      <c r="F174" t="s">
        <v>135</v>
      </c>
      <c r="G174" t="s">
        <v>111</v>
      </c>
      <c r="H174" t="s">
        <v>41</v>
      </c>
      <c r="I174" t="s">
        <v>138</v>
      </c>
      <c r="K174" t="s">
        <v>96</v>
      </c>
      <c r="L174" t="s">
        <v>50</v>
      </c>
      <c r="M174" t="s">
        <v>97</v>
      </c>
      <c r="N174" t="s">
        <v>100</v>
      </c>
    </row>
    <row r="175" spans="1:14" ht="12.75">
      <c r="A175" t="str">
        <f>HYPERLINK("http://www.onsemi.com/PowerSolutions/product.do?id=BC639ZL1G","BC639ZL1G")</f>
        <v>BC639ZL1G</v>
      </c>
      <c r="B175" t="str">
        <f>HYPERLINK("http://www.onsemi.com/pub/Collateral/BC635-D.PDF","BC635/D (60.0kB)")</f>
        <v>BC635/D (60.0kB)</v>
      </c>
      <c r="C175" t="s">
        <v>19</v>
      </c>
      <c r="D175" t="s">
        <v>70</v>
      </c>
      <c r="E175" t="s">
        <v>95</v>
      </c>
      <c r="F175" t="s">
        <v>135</v>
      </c>
      <c r="G175" t="s">
        <v>111</v>
      </c>
      <c r="H175" t="s">
        <v>41</v>
      </c>
      <c r="I175" t="s">
        <v>138</v>
      </c>
      <c r="K175" t="s">
        <v>96</v>
      </c>
      <c r="L175" t="s">
        <v>50</v>
      </c>
      <c r="M175" t="s">
        <v>97</v>
      </c>
      <c r="N175" t="s">
        <v>205</v>
      </c>
    </row>
    <row r="176" spans="1:14" ht="12.75">
      <c r="A176" t="str">
        <f>HYPERLINK("http://www.onsemi.com/PowerSolutions/product.do?id=BC640-016G","BC640-016G")</f>
        <v>BC640-016G</v>
      </c>
      <c r="B176" t="str">
        <f>HYPERLINK("http://www.onsemi.com/pub/Collateral/BC638-D.PDF","BC638/D (60.0kB)")</f>
        <v>BC638/D (60.0kB)</v>
      </c>
      <c r="C176" t="s">
        <v>19</v>
      </c>
      <c r="D176" t="s">
        <v>70</v>
      </c>
      <c r="E176" t="s">
        <v>99</v>
      </c>
      <c r="F176" t="s">
        <v>135</v>
      </c>
      <c r="G176" t="s">
        <v>111</v>
      </c>
      <c r="H176" t="s">
        <v>23</v>
      </c>
      <c r="I176" t="s">
        <v>58</v>
      </c>
      <c r="K176" t="s">
        <v>96</v>
      </c>
      <c r="L176" t="s">
        <v>59</v>
      </c>
      <c r="M176" t="s">
        <v>97</v>
      </c>
      <c r="N176" t="s">
        <v>206</v>
      </c>
    </row>
    <row r="177" spans="1:14" ht="12.75">
      <c r="A177" t="str">
        <f>HYPERLINK("http://www.onsemi.com/PowerSolutions/product.do?id=BC807-16LT1","BC807-16LT1")</f>
        <v>BC807-16LT1</v>
      </c>
      <c r="B177" t="str">
        <f aca="true" t="shared" si="9" ref="B177:B186">HYPERLINK("http://www.onsemi.com/pub/Collateral/BC807-16LT1-D.PDF","BC807-16LT1/D (56.0kB)")</f>
        <v>BC807-16LT1/D (56.0kB)</v>
      </c>
      <c r="C177" t="s">
        <v>69</v>
      </c>
      <c r="D177" t="s">
        <v>70</v>
      </c>
      <c r="E177" t="s">
        <v>99</v>
      </c>
      <c r="F177" t="s">
        <v>135</v>
      </c>
      <c r="G177" t="s">
        <v>64</v>
      </c>
      <c r="H177" t="s">
        <v>23</v>
      </c>
      <c r="I177" t="s">
        <v>58</v>
      </c>
      <c r="J177" t="s">
        <v>23</v>
      </c>
      <c r="K177" t="s">
        <v>207</v>
      </c>
      <c r="L177" t="s">
        <v>59</v>
      </c>
      <c r="M177" t="s">
        <v>208</v>
      </c>
      <c r="N177" t="s">
        <v>209</v>
      </c>
    </row>
    <row r="178" spans="1:14" ht="12.75">
      <c r="A178" t="str">
        <f>HYPERLINK("http://www.onsemi.com/PowerSolutions/product.do?id=BC807-16LT1G","BC807-16LT1G")</f>
        <v>BC807-16LT1G</v>
      </c>
      <c r="B178" t="str">
        <f t="shared" si="9"/>
        <v>BC807-16LT1/D (56.0kB)</v>
      </c>
      <c r="C178" t="s">
        <v>19</v>
      </c>
      <c r="D178" t="s">
        <v>70</v>
      </c>
      <c r="E178" t="s">
        <v>99</v>
      </c>
      <c r="F178" t="s">
        <v>135</v>
      </c>
      <c r="G178" t="s">
        <v>64</v>
      </c>
      <c r="H178" t="s">
        <v>23</v>
      </c>
      <c r="I178" t="s">
        <v>58</v>
      </c>
      <c r="J178" t="s">
        <v>23</v>
      </c>
      <c r="K178" t="s">
        <v>207</v>
      </c>
      <c r="L178" t="s">
        <v>59</v>
      </c>
      <c r="M178" t="s">
        <v>208</v>
      </c>
      <c r="N178" t="s">
        <v>209</v>
      </c>
    </row>
    <row r="179" spans="1:14" ht="12.75">
      <c r="A179" t="str">
        <f>HYPERLINK("http://www.onsemi.com/PowerSolutions/product.do?id=BC807-16LT3G","BC807-16LT3G")</f>
        <v>BC807-16LT3G</v>
      </c>
      <c r="B179" t="str">
        <f t="shared" si="9"/>
        <v>BC807-16LT1/D (56.0kB)</v>
      </c>
      <c r="C179" t="s">
        <v>19</v>
      </c>
      <c r="D179" t="s">
        <v>70</v>
      </c>
      <c r="E179" t="s">
        <v>99</v>
      </c>
      <c r="F179" t="s">
        <v>135</v>
      </c>
      <c r="G179" t="s">
        <v>64</v>
      </c>
      <c r="H179" t="s">
        <v>23</v>
      </c>
      <c r="I179" t="s">
        <v>58</v>
      </c>
      <c r="J179" t="s">
        <v>23</v>
      </c>
      <c r="K179" t="s">
        <v>207</v>
      </c>
      <c r="L179" t="s">
        <v>59</v>
      </c>
      <c r="M179" t="s">
        <v>208</v>
      </c>
      <c r="N179" t="s">
        <v>209</v>
      </c>
    </row>
    <row r="180" spans="1:14" ht="12.75">
      <c r="A180" t="str">
        <f>HYPERLINK("http://www.onsemi.com/PowerSolutions/product.do?id=BC807-25LT1","BC807-25LT1")</f>
        <v>BC807-25LT1</v>
      </c>
      <c r="B180" t="str">
        <f t="shared" si="9"/>
        <v>BC807-16LT1/D (56.0kB)</v>
      </c>
      <c r="C180" t="s">
        <v>69</v>
      </c>
      <c r="D180" t="s">
        <v>70</v>
      </c>
      <c r="E180" t="s">
        <v>99</v>
      </c>
      <c r="F180" t="s">
        <v>135</v>
      </c>
      <c r="G180" t="s">
        <v>64</v>
      </c>
      <c r="H180" t="s">
        <v>138</v>
      </c>
      <c r="I180" t="s">
        <v>125</v>
      </c>
      <c r="J180" t="s">
        <v>23</v>
      </c>
      <c r="K180" t="s">
        <v>207</v>
      </c>
      <c r="L180" t="s">
        <v>59</v>
      </c>
      <c r="M180" t="s">
        <v>208</v>
      </c>
      <c r="N180" t="s">
        <v>100</v>
      </c>
    </row>
    <row r="181" spans="1:14" ht="12.75">
      <c r="A181" t="str">
        <f>HYPERLINK("http://www.onsemi.com/PowerSolutions/product.do?id=BC807-25LT1G","BC807-25LT1G")</f>
        <v>BC807-25LT1G</v>
      </c>
      <c r="B181" t="str">
        <f t="shared" si="9"/>
        <v>BC807-16LT1/D (56.0kB)</v>
      </c>
      <c r="C181" t="s">
        <v>19</v>
      </c>
      <c r="D181" t="s">
        <v>70</v>
      </c>
      <c r="E181" t="s">
        <v>99</v>
      </c>
      <c r="F181" t="s">
        <v>135</v>
      </c>
      <c r="G181" t="s">
        <v>64</v>
      </c>
      <c r="H181" t="s">
        <v>138</v>
      </c>
      <c r="I181" t="s">
        <v>125</v>
      </c>
      <c r="J181" t="s">
        <v>23</v>
      </c>
      <c r="K181" t="s">
        <v>207</v>
      </c>
      <c r="L181" t="s">
        <v>59</v>
      </c>
      <c r="M181" t="s">
        <v>208</v>
      </c>
      <c r="N181" t="s">
        <v>210</v>
      </c>
    </row>
    <row r="182" spans="1:14" ht="12.75">
      <c r="A182" t="str">
        <f>HYPERLINK("http://www.onsemi.com/PowerSolutions/product.do?id=BC807-25LT3","BC807-25LT3")</f>
        <v>BC807-25LT3</v>
      </c>
      <c r="B182" t="str">
        <f t="shared" si="9"/>
        <v>BC807-16LT1/D (56.0kB)</v>
      </c>
      <c r="C182" t="s">
        <v>69</v>
      </c>
      <c r="D182" t="s">
        <v>70</v>
      </c>
      <c r="E182" t="s">
        <v>99</v>
      </c>
      <c r="F182" t="s">
        <v>135</v>
      </c>
      <c r="G182" t="s">
        <v>64</v>
      </c>
      <c r="H182" t="s">
        <v>138</v>
      </c>
      <c r="I182" t="s">
        <v>125</v>
      </c>
      <c r="J182" t="s">
        <v>23</v>
      </c>
      <c r="K182" t="s">
        <v>207</v>
      </c>
      <c r="L182" t="s">
        <v>59</v>
      </c>
      <c r="M182" t="s">
        <v>208</v>
      </c>
      <c r="N182" t="s">
        <v>100</v>
      </c>
    </row>
    <row r="183" spans="1:14" ht="12.75">
      <c r="A183" t="str">
        <f>HYPERLINK("http://www.onsemi.com/PowerSolutions/product.do?id=BC807-25LT3G","BC807-25LT3G")</f>
        <v>BC807-25LT3G</v>
      </c>
      <c r="B183" t="str">
        <f t="shared" si="9"/>
        <v>BC807-16LT1/D (56.0kB)</v>
      </c>
      <c r="C183" t="s">
        <v>19</v>
      </c>
      <c r="D183" t="s">
        <v>70</v>
      </c>
      <c r="E183" t="s">
        <v>99</v>
      </c>
      <c r="F183" t="s">
        <v>135</v>
      </c>
      <c r="G183" t="s">
        <v>64</v>
      </c>
      <c r="H183" t="s">
        <v>138</v>
      </c>
      <c r="I183" t="s">
        <v>125</v>
      </c>
      <c r="J183" t="s">
        <v>23</v>
      </c>
      <c r="K183" t="s">
        <v>207</v>
      </c>
      <c r="L183" t="s">
        <v>59</v>
      </c>
      <c r="M183" t="s">
        <v>208</v>
      </c>
      <c r="N183" t="s">
        <v>100</v>
      </c>
    </row>
    <row r="184" spans="1:14" ht="12.75">
      <c r="A184" t="str">
        <f>HYPERLINK("http://www.onsemi.com/PowerSolutions/product.do?id=BC807-40LT1","BC807-40LT1")</f>
        <v>BC807-40LT1</v>
      </c>
      <c r="B184" t="str">
        <f t="shared" si="9"/>
        <v>BC807-16LT1/D (56.0kB)</v>
      </c>
      <c r="C184" t="s">
        <v>69</v>
      </c>
      <c r="D184" t="s">
        <v>70</v>
      </c>
      <c r="E184" t="s">
        <v>99</v>
      </c>
      <c r="F184" t="s">
        <v>135</v>
      </c>
      <c r="G184" t="s">
        <v>64</v>
      </c>
      <c r="H184" t="s">
        <v>58</v>
      </c>
      <c r="I184" t="s">
        <v>211</v>
      </c>
      <c r="J184" t="s">
        <v>23</v>
      </c>
      <c r="K184" t="s">
        <v>207</v>
      </c>
      <c r="L184" t="s">
        <v>59</v>
      </c>
      <c r="M184" t="s">
        <v>208</v>
      </c>
      <c r="N184" t="s">
        <v>212</v>
      </c>
    </row>
    <row r="185" spans="1:14" ht="12.75">
      <c r="A185" t="str">
        <f>HYPERLINK("http://www.onsemi.com/PowerSolutions/product.do?id=BC807-40LT1G","BC807-40LT1G")</f>
        <v>BC807-40LT1G</v>
      </c>
      <c r="B185" t="str">
        <f t="shared" si="9"/>
        <v>BC807-16LT1/D (56.0kB)</v>
      </c>
      <c r="C185" t="s">
        <v>19</v>
      </c>
      <c r="D185" t="s">
        <v>70</v>
      </c>
      <c r="E185" t="s">
        <v>99</v>
      </c>
      <c r="F185" t="s">
        <v>135</v>
      </c>
      <c r="G185" t="s">
        <v>64</v>
      </c>
      <c r="H185" t="s">
        <v>58</v>
      </c>
      <c r="I185" t="s">
        <v>211</v>
      </c>
      <c r="J185" t="s">
        <v>23</v>
      </c>
      <c r="K185" t="s">
        <v>207</v>
      </c>
      <c r="L185" t="s">
        <v>59</v>
      </c>
      <c r="M185" t="s">
        <v>208</v>
      </c>
      <c r="N185" t="s">
        <v>212</v>
      </c>
    </row>
    <row r="186" spans="1:14" ht="12.75">
      <c r="A186" t="str">
        <f>HYPERLINK("http://www.onsemi.com/PowerSolutions/product.do?id=BC807-40LT3G","BC807-40LT3G")</f>
        <v>BC807-40LT3G</v>
      </c>
      <c r="B186" t="str">
        <f t="shared" si="9"/>
        <v>BC807-16LT1/D (56.0kB)</v>
      </c>
      <c r="C186" t="s">
        <v>19</v>
      </c>
      <c r="D186" t="s">
        <v>70</v>
      </c>
      <c r="E186" t="s">
        <v>99</v>
      </c>
      <c r="F186" t="s">
        <v>135</v>
      </c>
      <c r="G186" t="s">
        <v>64</v>
      </c>
      <c r="H186" t="s">
        <v>58</v>
      </c>
      <c r="I186" t="s">
        <v>211</v>
      </c>
      <c r="J186" t="s">
        <v>23</v>
      </c>
      <c r="K186" t="s">
        <v>207</v>
      </c>
      <c r="L186" t="s">
        <v>59</v>
      </c>
      <c r="M186" t="s">
        <v>208</v>
      </c>
      <c r="N186" t="s">
        <v>212</v>
      </c>
    </row>
    <row r="187" spans="1:14" ht="12.75">
      <c r="A187" t="str">
        <f>HYPERLINK("http://www.onsemi.com/PowerSolutions/product.do?id=BC808-25LT1G","BC808-25LT1G")</f>
        <v>BC808-25LT1G</v>
      </c>
      <c r="B187" t="str">
        <f>HYPERLINK("http://www.onsemi.com/pub/Collateral/BC808-25LT1-D.PDF","BC808-25LT1/D (55.0kB)")</f>
        <v>BC808-25LT1/D (55.0kB)</v>
      </c>
      <c r="C187" t="s">
        <v>19</v>
      </c>
      <c r="D187" t="s">
        <v>70</v>
      </c>
      <c r="E187" t="s">
        <v>99</v>
      </c>
      <c r="F187" t="s">
        <v>135</v>
      </c>
      <c r="G187" t="s">
        <v>102</v>
      </c>
      <c r="H187" t="s">
        <v>138</v>
      </c>
      <c r="I187" t="s">
        <v>125</v>
      </c>
      <c r="J187" t="s">
        <v>23</v>
      </c>
      <c r="K187" t="s">
        <v>207</v>
      </c>
      <c r="L187" t="s">
        <v>59</v>
      </c>
      <c r="M187" t="s">
        <v>208</v>
      </c>
      <c r="N187" t="s">
        <v>209</v>
      </c>
    </row>
    <row r="188" spans="1:14" ht="12.75">
      <c r="A188" t="str">
        <f>HYPERLINK("http://www.onsemi.com/PowerSolutions/product.do?id=BC817-16LT1G","BC817-16LT1G")</f>
        <v>BC817-16LT1G</v>
      </c>
      <c r="B188" t="str">
        <f aca="true" t="shared" si="10" ref="B188:B195">HYPERLINK("http://www.onsemi.com/pub/Collateral/BC817-16LT1-D.PDF","BC817-16LT1/D (95.0kB)")</f>
        <v>BC817-16LT1/D (95.0kB)</v>
      </c>
      <c r="C188" t="s">
        <v>19</v>
      </c>
      <c r="D188" t="s">
        <v>70</v>
      </c>
      <c r="E188" t="s">
        <v>95</v>
      </c>
      <c r="F188" t="s">
        <v>135</v>
      </c>
      <c r="G188" t="s">
        <v>64</v>
      </c>
      <c r="H188" t="s">
        <v>23</v>
      </c>
      <c r="I188" t="s">
        <v>58</v>
      </c>
      <c r="J188" t="s">
        <v>23</v>
      </c>
      <c r="K188" t="s">
        <v>207</v>
      </c>
      <c r="L188" t="s">
        <v>50</v>
      </c>
      <c r="M188" t="s">
        <v>208</v>
      </c>
      <c r="N188" t="s">
        <v>209</v>
      </c>
    </row>
    <row r="189" spans="1:14" ht="12.75">
      <c r="A189" t="str">
        <f>HYPERLINK("http://www.onsemi.com/PowerSolutions/product.do?id=BC817-16LT3G","BC817-16LT3G")</f>
        <v>BC817-16LT3G</v>
      </c>
      <c r="B189" t="str">
        <f t="shared" si="10"/>
        <v>BC817-16LT1/D (95.0kB)</v>
      </c>
      <c r="C189" t="s">
        <v>19</v>
      </c>
      <c r="D189" t="s">
        <v>70</v>
      </c>
      <c r="E189" t="s">
        <v>95</v>
      </c>
      <c r="F189" t="s">
        <v>135</v>
      </c>
      <c r="G189" t="s">
        <v>64</v>
      </c>
      <c r="H189" t="s">
        <v>23</v>
      </c>
      <c r="I189" t="s">
        <v>58</v>
      </c>
      <c r="J189" t="s">
        <v>23</v>
      </c>
      <c r="K189" t="s">
        <v>207</v>
      </c>
      <c r="L189" t="s">
        <v>50</v>
      </c>
      <c r="M189" t="s">
        <v>208</v>
      </c>
      <c r="N189" t="s">
        <v>209</v>
      </c>
    </row>
    <row r="190" spans="1:14" ht="12.75">
      <c r="A190" t="str">
        <f>HYPERLINK("http://www.onsemi.com/PowerSolutions/product.do?id=BC817-25LT1","BC817-25LT1")</f>
        <v>BC817-25LT1</v>
      </c>
      <c r="B190" t="str">
        <f t="shared" si="10"/>
        <v>BC817-16LT1/D (95.0kB)</v>
      </c>
      <c r="C190" t="s">
        <v>69</v>
      </c>
      <c r="D190" t="s">
        <v>70</v>
      </c>
      <c r="E190" t="s">
        <v>95</v>
      </c>
      <c r="F190" t="s">
        <v>135</v>
      </c>
      <c r="G190" t="s">
        <v>64</v>
      </c>
      <c r="H190" t="s">
        <v>138</v>
      </c>
      <c r="I190" t="s">
        <v>125</v>
      </c>
      <c r="J190" t="s">
        <v>23</v>
      </c>
      <c r="K190" t="s">
        <v>207</v>
      </c>
      <c r="L190" t="s">
        <v>50</v>
      </c>
      <c r="M190" t="s">
        <v>208</v>
      </c>
      <c r="N190" t="s">
        <v>100</v>
      </c>
    </row>
    <row r="191" spans="1:14" ht="12.75">
      <c r="A191" t="str">
        <f>HYPERLINK("http://www.onsemi.com/PowerSolutions/product.do?id=BC817-25LT1G","BC817-25LT1G")</f>
        <v>BC817-25LT1G</v>
      </c>
      <c r="B191" t="str">
        <f t="shared" si="10"/>
        <v>BC817-16LT1/D (95.0kB)</v>
      </c>
      <c r="C191" t="s">
        <v>19</v>
      </c>
      <c r="D191" t="s">
        <v>70</v>
      </c>
      <c r="E191" t="s">
        <v>95</v>
      </c>
      <c r="F191" t="s">
        <v>135</v>
      </c>
      <c r="G191" t="s">
        <v>64</v>
      </c>
      <c r="H191" t="s">
        <v>138</v>
      </c>
      <c r="I191" t="s">
        <v>125</v>
      </c>
      <c r="J191" t="s">
        <v>23</v>
      </c>
      <c r="K191" t="s">
        <v>207</v>
      </c>
      <c r="L191" t="s">
        <v>50</v>
      </c>
      <c r="M191" t="s">
        <v>208</v>
      </c>
      <c r="N191" t="s">
        <v>213</v>
      </c>
    </row>
    <row r="192" spans="1:14" ht="12.75">
      <c r="A192" t="str">
        <f>HYPERLINK("http://www.onsemi.com/PowerSolutions/product.do?id=BC817-25LT3G","BC817-25LT3G")</f>
        <v>BC817-25LT3G</v>
      </c>
      <c r="B192" t="str">
        <f t="shared" si="10"/>
        <v>BC817-16LT1/D (95.0kB)</v>
      </c>
      <c r="C192" t="s">
        <v>19</v>
      </c>
      <c r="D192" t="s">
        <v>70</v>
      </c>
      <c r="E192" t="s">
        <v>95</v>
      </c>
      <c r="F192" t="s">
        <v>135</v>
      </c>
      <c r="G192" t="s">
        <v>64</v>
      </c>
      <c r="H192" t="s">
        <v>138</v>
      </c>
      <c r="I192" t="s">
        <v>125</v>
      </c>
      <c r="J192" t="s">
        <v>23</v>
      </c>
      <c r="K192" t="s">
        <v>207</v>
      </c>
      <c r="L192" t="s">
        <v>50</v>
      </c>
      <c r="M192" t="s">
        <v>208</v>
      </c>
      <c r="N192" t="s">
        <v>100</v>
      </c>
    </row>
    <row r="193" spans="1:14" ht="12.75">
      <c r="A193" t="str">
        <f>HYPERLINK("http://www.onsemi.com/PowerSolutions/product.do?id=BC817-40LT1","BC817-40LT1")</f>
        <v>BC817-40LT1</v>
      </c>
      <c r="B193" t="str">
        <f t="shared" si="10"/>
        <v>BC817-16LT1/D (95.0kB)</v>
      </c>
      <c r="C193" t="s">
        <v>69</v>
      </c>
      <c r="D193" t="s">
        <v>70</v>
      </c>
      <c r="E193" t="s">
        <v>95</v>
      </c>
      <c r="F193" t="s">
        <v>135</v>
      </c>
      <c r="G193" t="s">
        <v>64</v>
      </c>
      <c r="H193" t="s">
        <v>58</v>
      </c>
      <c r="I193" t="s">
        <v>211</v>
      </c>
      <c r="J193" t="s">
        <v>23</v>
      </c>
      <c r="K193" t="s">
        <v>214</v>
      </c>
      <c r="L193" t="s">
        <v>50</v>
      </c>
      <c r="M193" t="s">
        <v>208</v>
      </c>
      <c r="N193" t="s">
        <v>100</v>
      </c>
    </row>
    <row r="194" spans="1:14" ht="12.75">
      <c r="A194" t="str">
        <f>HYPERLINK("http://www.onsemi.com/PowerSolutions/product.do?id=BC817-40LT1G","BC817-40LT1G")</f>
        <v>BC817-40LT1G</v>
      </c>
      <c r="B194" t="str">
        <f t="shared" si="10"/>
        <v>BC817-16LT1/D (95.0kB)</v>
      </c>
      <c r="C194" t="s">
        <v>19</v>
      </c>
      <c r="D194" t="s">
        <v>70</v>
      </c>
      <c r="E194" t="s">
        <v>95</v>
      </c>
      <c r="F194" t="s">
        <v>135</v>
      </c>
      <c r="G194" t="s">
        <v>64</v>
      </c>
      <c r="H194" t="s">
        <v>58</v>
      </c>
      <c r="I194" t="s">
        <v>211</v>
      </c>
      <c r="J194" t="s">
        <v>23</v>
      </c>
      <c r="K194" t="s">
        <v>214</v>
      </c>
      <c r="L194" t="s">
        <v>50</v>
      </c>
      <c r="M194" t="s">
        <v>208</v>
      </c>
      <c r="N194" t="s">
        <v>215</v>
      </c>
    </row>
    <row r="195" spans="1:14" ht="12.75">
      <c r="A195" t="str">
        <f>HYPERLINK("http://www.onsemi.com/PowerSolutions/product.do?id=BC817-40LT3G","BC817-40LT3G")</f>
        <v>BC817-40LT3G</v>
      </c>
      <c r="B195" t="str">
        <f t="shared" si="10"/>
        <v>BC817-16LT1/D (95.0kB)</v>
      </c>
      <c r="C195" t="s">
        <v>19</v>
      </c>
      <c r="D195" t="s">
        <v>70</v>
      </c>
      <c r="E195" t="s">
        <v>95</v>
      </c>
      <c r="F195" t="s">
        <v>135</v>
      </c>
      <c r="G195" t="s">
        <v>64</v>
      </c>
      <c r="H195" t="s">
        <v>58</v>
      </c>
      <c r="I195" t="s">
        <v>211</v>
      </c>
      <c r="J195" t="s">
        <v>23</v>
      </c>
      <c r="K195" t="s">
        <v>214</v>
      </c>
      <c r="L195" t="s">
        <v>50</v>
      </c>
      <c r="M195" t="s">
        <v>208</v>
      </c>
      <c r="N195" t="s">
        <v>100</v>
      </c>
    </row>
    <row r="196" spans="1:14" ht="12.75">
      <c r="A196" t="str">
        <f>HYPERLINK("http://www.onsemi.com/PowerSolutions/product.do?id=BC818-40LT1G","BC818-40LT1G")</f>
        <v>BC818-40LT1G</v>
      </c>
      <c r="B196" t="str">
        <f>HYPERLINK("http://www.onsemi.com/pub/Collateral/BC818-40LT-D.PDF","BC818-40LT/D (56.0kB)")</f>
        <v>BC818-40LT/D (56.0kB)</v>
      </c>
      <c r="C196" t="s">
        <v>19</v>
      </c>
      <c r="D196" t="s">
        <v>70</v>
      </c>
      <c r="E196" t="s">
        <v>95</v>
      </c>
      <c r="F196" t="s">
        <v>135</v>
      </c>
      <c r="G196" t="s">
        <v>102</v>
      </c>
      <c r="H196" t="s">
        <v>58</v>
      </c>
      <c r="I196" t="s">
        <v>211</v>
      </c>
      <c r="J196" t="s">
        <v>23</v>
      </c>
      <c r="K196" t="s">
        <v>207</v>
      </c>
      <c r="L196" t="s">
        <v>50</v>
      </c>
      <c r="M196" t="s">
        <v>208</v>
      </c>
      <c r="N196" t="s">
        <v>212</v>
      </c>
    </row>
    <row r="197" spans="1:14" ht="12.75">
      <c r="A197" t="str">
        <f>HYPERLINK("http://www.onsemi.com/PowerSolutions/product.do?id=BC846ALT1G","BC846ALT1G")</f>
        <v>BC846ALT1G</v>
      </c>
      <c r="B197" t="str">
        <f>HYPERLINK("http://www.onsemi.com/pub/Collateral/BC846ALT1-D.PDF","BC846ALT1/D (96.0kB)")</f>
        <v>BC846ALT1/D (96.0kB)</v>
      </c>
      <c r="C197" t="s">
        <v>19</v>
      </c>
      <c r="D197" t="s">
        <v>70</v>
      </c>
      <c r="E197" t="s">
        <v>95</v>
      </c>
      <c r="F197" t="s">
        <v>63</v>
      </c>
      <c r="G197" t="s">
        <v>200</v>
      </c>
      <c r="H197" t="s">
        <v>216</v>
      </c>
      <c r="I197" t="s">
        <v>42</v>
      </c>
      <c r="J197" t="s">
        <v>23</v>
      </c>
      <c r="K197" t="s">
        <v>207</v>
      </c>
      <c r="L197" t="s">
        <v>50</v>
      </c>
      <c r="M197" t="s">
        <v>208</v>
      </c>
      <c r="N197" t="s">
        <v>217</v>
      </c>
    </row>
    <row r="198" spans="1:14" ht="12.75">
      <c r="A198" t="str">
        <f>HYPERLINK("http://www.onsemi.com/PowerSolutions/product.do?id=BC846ALT3","BC846ALT3")</f>
        <v>BC846ALT3</v>
      </c>
      <c r="B198" t="str">
        <f>HYPERLINK("http://www.onsemi.com/pub/Collateral/BC846ALT1-D.PDF","BC846ALT1/D (96.0kB)")</f>
        <v>BC846ALT1/D (96.0kB)</v>
      </c>
      <c r="C198" t="s">
        <v>69</v>
      </c>
      <c r="D198" t="s">
        <v>70</v>
      </c>
      <c r="E198" t="s">
        <v>95</v>
      </c>
      <c r="F198" t="s">
        <v>63</v>
      </c>
      <c r="G198" t="s">
        <v>200</v>
      </c>
      <c r="H198" t="s">
        <v>216</v>
      </c>
      <c r="I198" t="s">
        <v>42</v>
      </c>
      <c r="J198" t="s">
        <v>23</v>
      </c>
      <c r="K198" t="s">
        <v>207</v>
      </c>
      <c r="L198" t="s">
        <v>50</v>
      </c>
      <c r="M198" t="s">
        <v>208</v>
      </c>
      <c r="N198" t="s">
        <v>217</v>
      </c>
    </row>
    <row r="199" spans="1:14" ht="12.75">
      <c r="A199" t="str">
        <f>HYPERLINK("http://www.onsemi.com/PowerSolutions/product.do?id=BC846ALT3G","BC846ALT3G")</f>
        <v>BC846ALT3G</v>
      </c>
      <c r="B199" t="str">
        <f>HYPERLINK("http://www.onsemi.com/pub/Collateral/BC846ALT1-D.PDF","BC846ALT1/D (96.0kB)")</f>
        <v>BC846ALT1/D (96.0kB)</v>
      </c>
      <c r="C199" t="s">
        <v>19</v>
      </c>
      <c r="D199" t="s">
        <v>70</v>
      </c>
      <c r="E199" t="s">
        <v>95</v>
      </c>
      <c r="F199" t="s">
        <v>63</v>
      </c>
      <c r="G199" t="s">
        <v>200</v>
      </c>
      <c r="H199" t="s">
        <v>216</v>
      </c>
      <c r="I199" t="s">
        <v>42</v>
      </c>
      <c r="J199" t="s">
        <v>23</v>
      </c>
      <c r="K199" t="s">
        <v>207</v>
      </c>
      <c r="L199" t="s">
        <v>50</v>
      </c>
      <c r="M199" t="s">
        <v>208</v>
      </c>
      <c r="N199" t="s">
        <v>217</v>
      </c>
    </row>
    <row r="200" spans="1:14" ht="12.75">
      <c r="A200" t="str">
        <f>HYPERLINK("http://www.onsemi.com/PowerSolutions/product.do?id=BC846BDW1T1G","BC846BDW1T1G")</f>
        <v>BC846BDW1T1G</v>
      </c>
      <c r="B200" t="str">
        <f>HYPERLINK("http://www.onsemi.com/pub/Collateral/BC846BDW1T1-D.PDF","BC846BDW1T1/D (97.0kB)")</f>
        <v>BC846BDW1T1/D (97.0kB)</v>
      </c>
      <c r="C200" t="s">
        <v>19</v>
      </c>
      <c r="D200" t="s">
        <v>70</v>
      </c>
      <c r="E200" t="s">
        <v>218</v>
      </c>
      <c r="F200" t="s">
        <v>63</v>
      </c>
      <c r="G200" t="s">
        <v>200</v>
      </c>
      <c r="H200" t="s">
        <v>33</v>
      </c>
      <c r="I200" t="s">
        <v>65</v>
      </c>
      <c r="J200" t="s">
        <v>23</v>
      </c>
      <c r="K200" t="s">
        <v>219</v>
      </c>
      <c r="L200" t="s">
        <v>50</v>
      </c>
      <c r="M200" t="s">
        <v>220</v>
      </c>
      <c r="N200" t="s">
        <v>209</v>
      </c>
    </row>
    <row r="201" spans="1:14" ht="12.75">
      <c r="A201" t="str">
        <f>HYPERLINK("http://www.onsemi.com/PowerSolutions/product.do?id=BC846BLT1","BC846BLT1")</f>
        <v>BC846BLT1</v>
      </c>
      <c r="B201" t="str">
        <f>HYPERLINK("http://www.onsemi.com/pub/Collateral/BC846ALT1-D.PDF","BC846ALT1/D (96.0kB)")</f>
        <v>BC846ALT1/D (96.0kB)</v>
      </c>
      <c r="C201" t="s">
        <v>69</v>
      </c>
      <c r="D201" t="s">
        <v>70</v>
      </c>
      <c r="E201" t="s">
        <v>95</v>
      </c>
      <c r="F201" t="s">
        <v>63</v>
      </c>
      <c r="G201" t="s">
        <v>200</v>
      </c>
      <c r="H201" t="s">
        <v>33</v>
      </c>
      <c r="I201" t="s">
        <v>65</v>
      </c>
      <c r="J201" t="s">
        <v>23</v>
      </c>
      <c r="K201" t="s">
        <v>207</v>
      </c>
      <c r="L201" t="s">
        <v>50</v>
      </c>
      <c r="M201" t="s">
        <v>208</v>
      </c>
      <c r="N201" t="s">
        <v>100</v>
      </c>
    </row>
    <row r="202" spans="1:14" ht="12.75">
      <c r="A202" t="str">
        <f>HYPERLINK("http://www.onsemi.com/PowerSolutions/product.do?id=BC846BLT1G","BC846BLT1G")</f>
        <v>BC846BLT1G</v>
      </c>
      <c r="B202" t="str">
        <f>HYPERLINK("http://www.onsemi.com/pub/Collateral/BC846ALT1-D.PDF","BC846ALT1/D (96.0kB)")</f>
        <v>BC846ALT1/D (96.0kB)</v>
      </c>
      <c r="C202" t="s">
        <v>19</v>
      </c>
      <c r="D202" t="s">
        <v>70</v>
      </c>
      <c r="E202" t="s">
        <v>95</v>
      </c>
      <c r="F202" t="s">
        <v>63</v>
      </c>
      <c r="G202" t="s">
        <v>200</v>
      </c>
      <c r="H202" t="s">
        <v>33</v>
      </c>
      <c r="I202" t="s">
        <v>65</v>
      </c>
      <c r="J202" t="s">
        <v>23</v>
      </c>
      <c r="K202" t="s">
        <v>207</v>
      </c>
      <c r="L202" t="s">
        <v>50</v>
      </c>
      <c r="M202" t="s">
        <v>208</v>
      </c>
      <c r="N202" t="s">
        <v>221</v>
      </c>
    </row>
    <row r="203" spans="1:14" ht="12.75">
      <c r="A203" t="str">
        <f>HYPERLINK("http://www.onsemi.com/PowerSolutions/product.do?id=BC846BLT3G","BC846BLT3G")</f>
        <v>BC846BLT3G</v>
      </c>
      <c r="B203" t="str">
        <f>HYPERLINK("http://www.onsemi.com/pub/Collateral/BC846ALT1-D.PDF","BC846ALT1/D (96.0kB)")</f>
        <v>BC846ALT1/D (96.0kB)</v>
      </c>
      <c r="C203" t="s">
        <v>19</v>
      </c>
      <c r="D203" t="s">
        <v>70</v>
      </c>
      <c r="E203" t="s">
        <v>95</v>
      </c>
      <c r="F203" t="s">
        <v>63</v>
      </c>
      <c r="G203" t="s">
        <v>200</v>
      </c>
      <c r="H203" t="s">
        <v>33</v>
      </c>
      <c r="I203" t="s">
        <v>65</v>
      </c>
      <c r="J203" t="s">
        <v>23</v>
      </c>
      <c r="K203" t="s">
        <v>207</v>
      </c>
      <c r="L203" t="s">
        <v>50</v>
      </c>
      <c r="M203" t="s">
        <v>208</v>
      </c>
      <c r="N203" t="s">
        <v>100</v>
      </c>
    </row>
    <row r="204" spans="1:14" ht="12.75">
      <c r="A204" t="str">
        <f>HYPERLINK("http://www.onsemi.com/PowerSolutions/product.do?id=BC846BM3T5G","BC846BM3T5G")</f>
        <v>BC846BM3T5G</v>
      </c>
      <c r="B204" t="str">
        <f>HYPERLINK("http://www.onsemi.com/pub/Collateral/BC846BM3-D.PDF","BC846BM3/D (102.0kB)")</f>
        <v>BC846BM3/D (102.0kB)</v>
      </c>
      <c r="C204" t="s">
        <v>19</v>
      </c>
      <c r="D204" t="s">
        <v>70</v>
      </c>
      <c r="E204" t="s">
        <v>190</v>
      </c>
      <c r="F204" t="s">
        <v>63</v>
      </c>
      <c r="G204" t="s">
        <v>200</v>
      </c>
      <c r="H204" t="s">
        <v>33</v>
      </c>
      <c r="I204" t="s">
        <v>65</v>
      </c>
      <c r="J204" t="s">
        <v>23</v>
      </c>
      <c r="K204" t="s">
        <v>184</v>
      </c>
      <c r="L204" t="s">
        <v>50</v>
      </c>
      <c r="M204" t="s">
        <v>185</v>
      </c>
      <c r="N204" t="s">
        <v>222</v>
      </c>
    </row>
    <row r="205" spans="1:14" ht="12.75">
      <c r="A205" t="str">
        <f>HYPERLINK("http://www.onsemi.com/PowerSolutions/product.do?id=BC846BPDW1T1G","BC846BPDW1T1G")</f>
        <v>BC846BPDW1T1G</v>
      </c>
      <c r="B205" t="str">
        <f>HYPERLINK("http://www.onsemi.com/pub/Collateral/BC846BPDW1T1-D.PDF","BC846BPDW1T1/D (97.0kB)")</f>
        <v>BC846BPDW1T1/D (97.0kB)</v>
      </c>
      <c r="C205" t="s">
        <v>19</v>
      </c>
      <c r="D205" t="s">
        <v>70</v>
      </c>
      <c r="E205" t="s">
        <v>223</v>
      </c>
      <c r="F205" t="s">
        <v>63</v>
      </c>
      <c r="G205" t="s">
        <v>200</v>
      </c>
      <c r="H205" t="s">
        <v>33</v>
      </c>
      <c r="I205" t="s">
        <v>67</v>
      </c>
      <c r="J205" t="s">
        <v>23</v>
      </c>
      <c r="K205" t="s">
        <v>219</v>
      </c>
      <c r="L205" t="s">
        <v>224</v>
      </c>
      <c r="M205" t="s">
        <v>220</v>
      </c>
      <c r="N205" t="s">
        <v>225</v>
      </c>
    </row>
    <row r="206" spans="1:14" ht="12.75">
      <c r="A206" t="str">
        <f>HYPERLINK("http://www.onsemi.com/PowerSolutions/product.do?id=BC846BWT1G","BC846BWT1G")</f>
        <v>BC846BWT1G</v>
      </c>
      <c r="B206" t="str">
        <f>HYPERLINK("http://www.onsemi.com/pub/Collateral/BC846AWT1-D.PDF","BC846AWT1/D (68.0kB)")</f>
        <v>BC846AWT1/D (68.0kB)</v>
      </c>
      <c r="C206" t="s">
        <v>19</v>
      </c>
      <c r="D206" t="s">
        <v>70</v>
      </c>
      <c r="E206" t="s">
        <v>95</v>
      </c>
      <c r="F206" t="s">
        <v>63</v>
      </c>
      <c r="G206" t="s">
        <v>200</v>
      </c>
      <c r="H206" t="s">
        <v>33</v>
      </c>
      <c r="I206" t="s">
        <v>65</v>
      </c>
      <c r="J206" t="s">
        <v>23</v>
      </c>
      <c r="K206" t="s">
        <v>180</v>
      </c>
      <c r="L206" t="s">
        <v>50</v>
      </c>
      <c r="M206" t="s">
        <v>226</v>
      </c>
      <c r="N206" t="s">
        <v>209</v>
      </c>
    </row>
    <row r="207" spans="1:14" ht="12.75">
      <c r="A207" t="str">
        <f>HYPERLINK("http://www.onsemi.com/PowerSolutions/product.do?id=BC847ALT1G","BC847ALT1G")</f>
        <v>BC847ALT1G</v>
      </c>
      <c r="B207" t="str">
        <f>HYPERLINK("http://www.onsemi.com/pub/Collateral/BC846ALT1-D.PDF","BC846ALT1/D (96.0kB)")</f>
        <v>BC846ALT1/D (96.0kB)</v>
      </c>
      <c r="C207" t="s">
        <v>19</v>
      </c>
      <c r="D207" t="s">
        <v>70</v>
      </c>
      <c r="E207" t="s">
        <v>95</v>
      </c>
      <c r="F207" t="s">
        <v>63</v>
      </c>
      <c r="G207" t="s">
        <v>64</v>
      </c>
      <c r="H207" t="s">
        <v>216</v>
      </c>
      <c r="I207" t="s">
        <v>42</v>
      </c>
      <c r="J207" t="s">
        <v>23</v>
      </c>
      <c r="K207" t="s">
        <v>207</v>
      </c>
      <c r="L207" t="s">
        <v>50</v>
      </c>
      <c r="M207" t="s">
        <v>208</v>
      </c>
      <c r="N207" t="s">
        <v>227</v>
      </c>
    </row>
    <row r="208" spans="1:14" ht="12.75">
      <c r="A208" t="str">
        <f>HYPERLINK("http://www.onsemi.com/PowerSolutions/product.do?id=BC847AWT1","BC847AWT1")</f>
        <v>BC847AWT1</v>
      </c>
      <c r="B208" t="str">
        <f>HYPERLINK("http://www.onsemi.com/pub/Collateral/BC846AWT1-D.PDF","BC846AWT1/D (68.0kB)")</f>
        <v>BC846AWT1/D (68.0kB)</v>
      </c>
      <c r="C208" t="s">
        <v>69</v>
      </c>
      <c r="D208" t="s">
        <v>70</v>
      </c>
      <c r="E208" t="s">
        <v>95</v>
      </c>
      <c r="F208" t="s">
        <v>63</v>
      </c>
      <c r="G208" t="s">
        <v>64</v>
      </c>
      <c r="H208" t="s">
        <v>216</v>
      </c>
      <c r="I208" t="s">
        <v>42</v>
      </c>
      <c r="J208" t="s">
        <v>23</v>
      </c>
      <c r="K208" t="s">
        <v>180</v>
      </c>
      <c r="L208" t="s">
        <v>50</v>
      </c>
      <c r="M208" t="s">
        <v>226</v>
      </c>
      <c r="N208" t="s">
        <v>209</v>
      </c>
    </row>
    <row r="209" spans="1:14" ht="12.75">
      <c r="A209" t="str">
        <f>HYPERLINK("http://www.onsemi.com/PowerSolutions/product.do?id=BC847AWT1G","BC847AWT1G")</f>
        <v>BC847AWT1G</v>
      </c>
      <c r="B209" t="str">
        <f>HYPERLINK("http://www.onsemi.com/pub/Collateral/BC846AWT1-D.PDF","BC846AWT1/D (68.0kB)")</f>
        <v>BC846AWT1/D (68.0kB)</v>
      </c>
      <c r="C209" t="s">
        <v>19</v>
      </c>
      <c r="D209" t="s">
        <v>70</v>
      </c>
      <c r="E209" t="s">
        <v>95</v>
      </c>
      <c r="F209" t="s">
        <v>63</v>
      </c>
      <c r="G209" t="s">
        <v>64</v>
      </c>
      <c r="H209" t="s">
        <v>216</v>
      </c>
      <c r="I209" t="s">
        <v>42</v>
      </c>
      <c r="J209" t="s">
        <v>23</v>
      </c>
      <c r="K209" t="s">
        <v>180</v>
      </c>
      <c r="L209" t="s">
        <v>50</v>
      </c>
      <c r="M209" t="s">
        <v>226</v>
      </c>
      <c r="N209" t="s">
        <v>209</v>
      </c>
    </row>
    <row r="210" spans="1:14" ht="12.75">
      <c r="A210" t="str">
        <f>HYPERLINK("http://www.onsemi.com/PowerSolutions/product.do?id=BC847BDW1T1G","BC847BDW1T1G")</f>
        <v>BC847BDW1T1G</v>
      </c>
      <c r="B210" t="str">
        <f>HYPERLINK("http://www.onsemi.com/pub/Collateral/BC846BDW1T1-D.PDF","BC846BDW1T1/D (97.0kB)")</f>
        <v>BC846BDW1T1/D (97.0kB)</v>
      </c>
      <c r="C210" t="s">
        <v>19</v>
      </c>
      <c r="D210" t="s">
        <v>70</v>
      </c>
      <c r="E210" t="s">
        <v>218</v>
      </c>
      <c r="F210" t="s">
        <v>63</v>
      </c>
      <c r="G210" t="s">
        <v>64</v>
      </c>
      <c r="H210" t="s">
        <v>33</v>
      </c>
      <c r="I210" t="s">
        <v>65</v>
      </c>
      <c r="J210" t="s">
        <v>23</v>
      </c>
      <c r="K210" t="s">
        <v>219</v>
      </c>
      <c r="L210" t="s">
        <v>50</v>
      </c>
      <c r="M210" t="s">
        <v>220</v>
      </c>
      <c r="N210" t="s">
        <v>100</v>
      </c>
    </row>
    <row r="211" spans="1:14" ht="12.75">
      <c r="A211" t="str">
        <f>HYPERLINK("http://www.onsemi.com/PowerSolutions/product.do?id=BC847BDW1T3","BC847BDW1T3")</f>
        <v>BC847BDW1T3</v>
      </c>
      <c r="B211" t="str">
        <f>HYPERLINK("http://www.onsemi.com/pub/Collateral/BC846BDW1T1-D.PDF","BC846BDW1T1/D (97.0kB)")</f>
        <v>BC846BDW1T1/D (97.0kB)</v>
      </c>
      <c r="C211" t="s">
        <v>69</v>
      </c>
      <c r="D211" t="s">
        <v>70</v>
      </c>
      <c r="E211" t="s">
        <v>218</v>
      </c>
      <c r="F211" t="s">
        <v>63</v>
      </c>
      <c r="G211" t="s">
        <v>64</v>
      </c>
      <c r="H211" t="s">
        <v>33</v>
      </c>
      <c r="I211" t="s">
        <v>65</v>
      </c>
      <c r="J211" t="s">
        <v>23</v>
      </c>
      <c r="K211" t="s">
        <v>219</v>
      </c>
      <c r="L211" t="s">
        <v>50</v>
      </c>
      <c r="M211" t="s">
        <v>220</v>
      </c>
      <c r="N211" t="s">
        <v>100</v>
      </c>
    </row>
    <row r="212" spans="1:14" ht="12.75">
      <c r="A212" t="str">
        <f>HYPERLINK("http://www.onsemi.com/PowerSolutions/product.do?id=BC847BDW1T3G","BC847BDW1T3G")</f>
        <v>BC847BDW1T3G</v>
      </c>
      <c r="B212" t="str">
        <f>HYPERLINK("http://www.onsemi.com/pub/Collateral/BC846BDW1T1-D.PDF","BC846BDW1T1/D (97.0kB)")</f>
        <v>BC846BDW1T1/D (97.0kB)</v>
      </c>
      <c r="C212" t="s">
        <v>19</v>
      </c>
      <c r="D212" t="s">
        <v>70</v>
      </c>
      <c r="E212" t="s">
        <v>218</v>
      </c>
      <c r="F212" t="s">
        <v>63</v>
      </c>
      <c r="G212" t="s">
        <v>64</v>
      </c>
      <c r="H212" t="s">
        <v>33</v>
      </c>
      <c r="I212" t="s">
        <v>65</v>
      </c>
      <c r="J212" t="s">
        <v>23</v>
      </c>
      <c r="K212" t="s">
        <v>219</v>
      </c>
      <c r="L212" t="s">
        <v>50</v>
      </c>
      <c r="M212" t="s">
        <v>220</v>
      </c>
      <c r="N212" t="s">
        <v>228</v>
      </c>
    </row>
    <row r="213" spans="1:14" ht="12.75">
      <c r="A213" t="str">
        <f>HYPERLINK("http://www.onsemi.com/PowerSolutions/product.do?id=BC847BLT1","BC847BLT1")</f>
        <v>BC847BLT1</v>
      </c>
      <c r="B213" t="str">
        <f>HYPERLINK("http://www.onsemi.com/pub/Collateral/BC846ALT1-D.PDF","BC846ALT1/D (96.0kB)")</f>
        <v>BC846ALT1/D (96.0kB)</v>
      </c>
      <c r="C213" t="s">
        <v>69</v>
      </c>
      <c r="D213" t="s">
        <v>70</v>
      </c>
      <c r="E213" t="s">
        <v>95</v>
      </c>
      <c r="F213" t="s">
        <v>63</v>
      </c>
      <c r="G213" t="s">
        <v>64</v>
      </c>
      <c r="H213" t="s">
        <v>33</v>
      </c>
      <c r="I213" t="s">
        <v>65</v>
      </c>
      <c r="J213" t="s">
        <v>23</v>
      </c>
      <c r="K213" t="s">
        <v>207</v>
      </c>
      <c r="L213" t="s">
        <v>50</v>
      </c>
      <c r="M213" t="s">
        <v>208</v>
      </c>
      <c r="N213" t="s">
        <v>100</v>
      </c>
    </row>
    <row r="214" spans="1:14" ht="12.75">
      <c r="A214" t="str">
        <f>HYPERLINK("http://www.onsemi.com/PowerSolutions/product.do?id=BC847BLT1G","BC847BLT1G")</f>
        <v>BC847BLT1G</v>
      </c>
      <c r="B214" t="str">
        <f>HYPERLINK("http://www.onsemi.com/pub/Collateral/BC846ALT1-D.PDF","BC846ALT1/D (96.0kB)")</f>
        <v>BC846ALT1/D (96.0kB)</v>
      </c>
      <c r="C214" t="s">
        <v>19</v>
      </c>
      <c r="D214" t="s">
        <v>70</v>
      </c>
      <c r="E214" t="s">
        <v>95</v>
      </c>
      <c r="F214" t="s">
        <v>63</v>
      </c>
      <c r="G214" t="s">
        <v>64</v>
      </c>
      <c r="H214" t="s">
        <v>33</v>
      </c>
      <c r="I214" t="s">
        <v>65</v>
      </c>
      <c r="J214" t="s">
        <v>23</v>
      </c>
      <c r="K214" t="s">
        <v>207</v>
      </c>
      <c r="L214" t="s">
        <v>50</v>
      </c>
      <c r="M214" t="s">
        <v>208</v>
      </c>
      <c r="N214" t="s">
        <v>229</v>
      </c>
    </row>
    <row r="215" spans="1:14" ht="12.75">
      <c r="A215" t="str">
        <f>HYPERLINK("http://www.onsemi.com/PowerSolutions/product.do?id=BC847BLT3G","BC847BLT3G")</f>
        <v>BC847BLT3G</v>
      </c>
      <c r="B215" t="str">
        <f>HYPERLINK("http://www.onsemi.com/pub/Collateral/BC846ALT1-D.PDF","BC846ALT1/D (96.0kB)")</f>
        <v>BC846ALT1/D (96.0kB)</v>
      </c>
      <c r="C215" t="s">
        <v>19</v>
      </c>
      <c r="D215" t="s">
        <v>70</v>
      </c>
      <c r="E215" t="s">
        <v>95</v>
      </c>
      <c r="F215" t="s">
        <v>63</v>
      </c>
      <c r="G215" t="s">
        <v>64</v>
      </c>
      <c r="H215" t="s">
        <v>33</v>
      </c>
      <c r="I215" t="s">
        <v>65</v>
      </c>
      <c r="J215" t="s">
        <v>23</v>
      </c>
      <c r="K215" t="s">
        <v>207</v>
      </c>
      <c r="L215" t="s">
        <v>50</v>
      </c>
      <c r="M215" t="s">
        <v>208</v>
      </c>
      <c r="N215" t="s">
        <v>100</v>
      </c>
    </row>
    <row r="216" spans="1:14" ht="12.75">
      <c r="A216" t="str">
        <f>HYPERLINK("http://www.onsemi.com/PowerSolutions/product.do?id=BC847BM3T5G","BC847BM3T5G")</f>
        <v>BC847BM3T5G</v>
      </c>
      <c r="B216" t="str">
        <f>HYPERLINK("http://www.onsemi.com/pub/Collateral/BC847BM3-D.PDF","BC847BM3/D (60.0kB)")</f>
        <v>BC847BM3/D (60.0kB)</v>
      </c>
      <c r="C216" t="s">
        <v>19</v>
      </c>
      <c r="D216" t="s">
        <v>70</v>
      </c>
      <c r="E216" t="s">
        <v>190</v>
      </c>
      <c r="F216" t="s">
        <v>63</v>
      </c>
      <c r="G216" t="s">
        <v>64</v>
      </c>
      <c r="H216" t="s">
        <v>33</v>
      </c>
      <c r="I216" t="s">
        <v>65</v>
      </c>
      <c r="J216" t="s">
        <v>23</v>
      </c>
      <c r="K216" t="s">
        <v>191</v>
      </c>
      <c r="L216" t="s">
        <v>50</v>
      </c>
      <c r="M216" t="s">
        <v>185</v>
      </c>
      <c r="N216" t="s">
        <v>222</v>
      </c>
    </row>
    <row r="217" spans="1:14" ht="12.75">
      <c r="A217" t="str">
        <f>HYPERLINK("http://www.onsemi.com/PowerSolutions/product.do?id=BC847BPDW1T1","BC847BPDW1T1")</f>
        <v>BC847BPDW1T1</v>
      </c>
      <c r="B217" t="str">
        <f>HYPERLINK("http://www.onsemi.com/pub/Collateral/BC846BPDW1T1-D.PDF","BC846BPDW1T1/D (97.0kB)")</f>
        <v>BC846BPDW1T1/D (97.0kB)</v>
      </c>
      <c r="C217" t="s">
        <v>69</v>
      </c>
      <c r="D217" t="s">
        <v>70</v>
      </c>
      <c r="E217" t="s">
        <v>223</v>
      </c>
      <c r="F217" t="s">
        <v>63</v>
      </c>
      <c r="G217" t="s">
        <v>64</v>
      </c>
      <c r="H217" t="s">
        <v>33</v>
      </c>
      <c r="I217" t="s">
        <v>65</v>
      </c>
      <c r="J217" t="s">
        <v>23</v>
      </c>
      <c r="K217" t="s">
        <v>219</v>
      </c>
      <c r="L217" t="s">
        <v>224</v>
      </c>
      <c r="M217" t="s">
        <v>220</v>
      </c>
      <c r="N217" t="s">
        <v>100</v>
      </c>
    </row>
    <row r="218" spans="1:14" ht="12.75">
      <c r="A218" t="str">
        <f>HYPERLINK("http://www.onsemi.com/PowerSolutions/product.do?id=BC847BPDW1T1G","BC847BPDW1T1G")</f>
        <v>BC847BPDW1T1G</v>
      </c>
      <c r="B218" t="str">
        <f>HYPERLINK("http://www.onsemi.com/pub/Collateral/BC846BPDW1T1-D.PDF","BC846BPDW1T1/D (97.0kB)")</f>
        <v>BC846BPDW1T1/D (97.0kB)</v>
      </c>
      <c r="C218" t="s">
        <v>19</v>
      </c>
      <c r="D218" t="s">
        <v>70</v>
      </c>
      <c r="E218" t="s">
        <v>223</v>
      </c>
      <c r="F218" t="s">
        <v>63</v>
      </c>
      <c r="G218" t="s">
        <v>64</v>
      </c>
      <c r="H218" t="s">
        <v>33</v>
      </c>
      <c r="I218" t="s">
        <v>65</v>
      </c>
      <c r="J218" t="s">
        <v>23</v>
      </c>
      <c r="K218" t="s">
        <v>219</v>
      </c>
      <c r="L218" t="s">
        <v>224</v>
      </c>
      <c r="M218" t="s">
        <v>220</v>
      </c>
      <c r="N218" t="s">
        <v>230</v>
      </c>
    </row>
    <row r="219" spans="1:14" ht="12.75">
      <c r="A219" t="str">
        <f>HYPERLINK("http://www.onsemi.com/PowerSolutions/product.do?id=BC847BPDXV6T1G","BC847BPDXV6T1G")</f>
        <v>BC847BPDXV6T1G</v>
      </c>
      <c r="B219" t="str">
        <f>HYPERLINK("http://www.onsemi.com/pub/Collateral/BC847BPDXV6T1-D.PDF","BC847BPDXV6T1/D (76.0kB)")</f>
        <v>BC847BPDXV6T1/D (76.0kB)</v>
      </c>
      <c r="C219" t="s">
        <v>19</v>
      </c>
      <c r="D219" t="s">
        <v>70</v>
      </c>
      <c r="E219" t="s">
        <v>223</v>
      </c>
      <c r="F219" t="s">
        <v>63</v>
      </c>
      <c r="G219" t="s">
        <v>64</v>
      </c>
      <c r="H219" t="s">
        <v>33</v>
      </c>
      <c r="I219" t="s">
        <v>67</v>
      </c>
      <c r="J219" t="s">
        <v>23</v>
      </c>
      <c r="K219" t="s">
        <v>135</v>
      </c>
      <c r="L219" t="s">
        <v>224</v>
      </c>
      <c r="M219" t="s">
        <v>231</v>
      </c>
      <c r="N219" t="s">
        <v>56</v>
      </c>
    </row>
    <row r="220" spans="1:14" ht="12.75">
      <c r="A220" t="str">
        <f>HYPERLINK("http://www.onsemi.com/PowerSolutions/product.do?id=BC847BTT1G","BC847BTT1G")</f>
        <v>BC847BTT1G</v>
      </c>
      <c r="B220" t="str">
        <f>HYPERLINK("http://www.onsemi.com/pub/Collateral/BC847ATT1-D.PDF","BC847ATT1/D (71.0kB)")</f>
        <v>BC847ATT1/D (71.0kB)</v>
      </c>
      <c r="C220" t="s">
        <v>19</v>
      </c>
      <c r="D220" t="s">
        <v>70</v>
      </c>
      <c r="E220" t="s">
        <v>95</v>
      </c>
      <c r="F220" t="s">
        <v>63</v>
      </c>
      <c r="G220" t="s">
        <v>64</v>
      </c>
      <c r="H220" t="s">
        <v>33</v>
      </c>
      <c r="I220" t="s">
        <v>65</v>
      </c>
      <c r="J220" t="s">
        <v>23</v>
      </c>
      <c r="K220" t="s">
        <v>47</v>
      </c>
      <c r="L220" t="s">
        <v>50</v>
      </c>
      <c r="M220" t="s">
        <v>181</v>
      </c>
      <c r="N220" t="s">
        <v>222</v>
      </c>
    </row>
    <row r="221" spans="1:14" ht="12.75">
      <c r="A221" t="str">
        <f>HYPERLINK("http://www.onsemi.com/PowerSolutions/product.do?id=BC847BWT1","BC847BWT1")</f>
        <v>BC847BWT1</v>
      </c>
      <c r="B221" t="str">
        <f>HYPERLINK("http://www.onsemi.com/pub/Collateral/BC846AWT1-D.PDF","BC846AWT1/D (68.0kB)")</f>
        <v>BC846AWT1/D (68.0kB)</v>
      </c>
      <c r="C221" t="s">
        <v>69</v>
      </c>
      <c r="D221" t="s">
        <v>70</v>
      </c>
      <c r="E221" t="s">
        <v>95</v>
      </c>
      <c r="F221" t="s">
        <v>63</v>
      </c>
      <c r="G221" t="s">
        <v>64</v>
      </c>
      <c r="H221" t="s">
        <v>33</v>
      </c>
      <c r="I221" t="s">
        <v>65</v>
      </c>
      <c r="J221" t="s">
        <v>23</v>
      </c>
      <c r="K221" t="s">
        <v>180</v>
      </c>
      <c r="L221" t="s">
        <v>50</v>
      </c>
      <c r="M221" t="s">
        <v>226</v>
      </c>
      <c r="N221" t="s">
        <v>100</v>
      </c>
    </row>
    <row r="222" spans="1:14" ht="12.75">
      <c r="A222" t="str">
        <f>HYPERLINK("http://www.onsemi.com/PowerSolutions/product.do?id=BC847BWT1G","BC847BWT1G")</f>
        <v>BC847BWT1G</v>
      </c>
      <c r="B222" t="str">
        <f>HYPERLINK("http://www.onsemi.com/pub/Collateral/BC846AWT1-D.PDF","BC846AWT1/D (68.0kB)")</f>
        <v>BC846AWT1/D (68.0kB)</v>
      </c>
      <c r="C222" t="s">
        <v>19</v>
      </c>
      <c r="D222" t="s">
        <v>70</v>
      </c>
      <c r="E222" t="s">
        <v>95</v>
      </c>
      <c r="F222" t="s">
        <v>63</v>
      </c>
      <c r="G222" t="s">
        <v>64</v>
      </c>
      <c r="H222" t="s">
        <v>33</v>
      </c>
      <c r="I222" t="s">
        <v>65</v>
      </c>
      <c r="J222" t="s">
        <v>23</v>
      </c>
      <c r="K222" t="s">
        <v>180</v>
      </c>
      <c r="L222" t="s">
        <v>50</v>
      </c>
      <c r="M222" t="s">
        <v>226</v>
      </c>
      <c r="N222" t="s">
        <v>232</v>
      </c>
    </row>
    <row r="223" spans="1:14" ht="12.75">
      <c r="A223" t="str">
        <f>HYPERLINK("http://www.onsemi.com/PowerSolutions/product.do?id=BC847CDW1T1","BC847CDW1T1")</f>
        <v>BC847CDW1T1</v>
      </c>
      <c r="B223" t="str">
        <f>HYPERLINK("http://www.onsemi.com/pub/Collateral/BC846BDW1T1-D.PDF","BC846BDW1T1/D (97.0kB)")</f>
        <v>BC846BDW1T1/D (97.0kB)</v>
      </c>
      <c r="C223" t="s">
        <v>69</v>
      </c>
      <c r="D223" t="s">
        <v>70</v>
      </c>
      <c r="E223" t="s">
        <v>218</v>
      </c>
      <c r="F223" t="s">
        <v>63</v>
      </c>
      <c r="G223" t="s">
        <v>64</v>
      </c>
      <c r="H223" t="s">
        <v>68</v>
      </c>
      <c r="I223" t="s">
        <v>121</v>
      </c>
      <c r="J223" t="s">
        <v>23</v>
      </c>
      <c r="K223" t="s">
        <v>219</v>
      </c>
      <c r="L223" t="s">
        <v>50</v>
      </c>
      <c r="M223" t="s">
        <v>220</v>
      </c>
      <c r="N223" t="s">
        <v>100</v>
      </c>
    </row>
    <row r="224" spans="1:14" ht="12.75">
      <c r="A224" t="str">
        <f>HYPERLINK("http://www.onsemi.com/PowerSolutions/product.do?id=BC847CDW1T1G","BC847CDW1T1G")</f>
        <v>BC847CDW1T1G</v>
      </c>
      <c r="B224" t="str">
        <f>HYPERLINK("http://www.onsemi.com/pub/Collateral/BC846BDW1T1-D.PDF","BC846BDW1T1/D (97.0kB)")</f>
        <v>BC846BDW1T1/D (97.0kB)</v>
      </c>
      <c r="C224" t="s">
        <v>19</v>
      </c>
      <c r="D224" t="s">
        <v>70</v>
      </c>
      <c r="E224" t="s">
        <v>218</v>
      </c>
      <c r="F224" t="s">
        <v>63</v>
      </c>
      <c r="G224" t="s">
        <v>64</v>
      </c>
      <c r="H224" t="s">
        <v>68</v>
      </c>
      <c r="I224" t="s">
        <v>121</v>
      </c>
      <c r="J224" t="s">
        <v>23</v>
      </c>
      <c r="K224" t="s">
        <v>219</v>
      </c>
      <c r="L224" t="s">
        <v>50</v>
      </c>
      <c r="M224" t="s">
        <v>220</v>
      </c>
      <c r="N224" t="s">
        <v>233</v>
      </c>
    </row>
    <row r="225" spans="1:14" ht="12.75">
      <c r="A225" t="str">
        <f>HYPERLINK("http://www.onsemi.com/PowerSolutions/product.do?id=BC847CDXV6T1G","BC847CDXV6T1G")</f>
        <v>BC847CDXV6T1G</v>
      </c>
      <c r="B225" t="str">
        <f>HYPERLINK("http://www.onsemi.com/pub/Collateral/BC847CDXV6T1-D.PDF","BC847CDXV6T1/D (57.0kB)")</f>
        <v>BC847CDXV6T1/D (57.0kB)</v>
      </c>
      <c r="C225" t="s">
        <v>19</v>
      </c>
      <c r="D225" t="s">
        <v>70</v>
      </c>
      <c r="E225" t="s">
        <v>218</v>
      </c>
      <c r="F225" t="s">
        <v>63</v>
      </c>
      <c r="G225" t="s">
        <v>64</v>
      </c>
      <c r="H225" t="s">
        <v>68</v>
      </c>
      <c r="I225" t="s">
        <v>121</v>
      </c>
      <c r="J225" t="s">
        <v>23</v>
      </c>
      <c r="K225" t="s">
        <v>234</v>
      </c>
      <c r="L225" t="s">
        <v>50</v>
      </c>
      <c r="M225" t="s">
        <v>231</v>
      </c>
      <c r="N225" t="s">
        <v>235</v>
      </c>
    </row>
    <row r="226" spans="1:14" ht="12.75">
      <c r="A226" t="str">
        <f>HYPERLINK("http://www.onsemi.com/PowerSolutions/product.do?id=BC847CLT1G","BC847CLT1G")</f>
        <v>BC847CLT1G</v>
      </c>
      <c r="B226" t="str">
        <f>HYPERLINK("http://www.onsemi.com/pub/Collateral/BC846ALT1-D.PDF","BC846ALT1/D (96.0kB)")</f>
        <v>BC846ALT1/D (96.0kB)</v>
      </c>
      <c r="C226" t="s">
        <v>19</v>
      </c>
      <c r="D226" t="s">
        <v>70</v>
      </c>
      <c r="E226" t="s">
        <v>95</v>
      </c>
      <c r="F226" t="s">
        <v>63</v>
      </c>
      <c r="G226" t="s">
        <v>64</v>
      </c>
      <c r="H226" t="s">
        <v>68</v>
      </c>
      <c r="I226" t="s">
        <v>121</v>
      </c>
      <c r="J226" t="s">
        <v>23</v>
      </c>
      <c r="K226" t="s">
        <v>207</v>
      </c>
      <c r="L226" t="s">
        <v>50</v>
      </c>
      <c r="M226" t="s">
        <v>208</v>
      </c>
      <c r="N226" t="s">
        <v>217</v>
      </c>
    </row>
    <row r="227" spans="1:14" ht="12.75">
      <c r="A227" t="str">
        <f>HYPERLINK("http://www.onsemi.com/PowerSolutions/product.do?id=BC847CLT3G","BC847CLT3G")</f>
        <v>BC847CLT3G</v>
      </c>
      <c r="B227" t="str">
        <f>HYPERLINK("http://www.onsemi.com/pub/Collateral/BC846ALT1-D.PDF","BC846ALT1/D (96.0kB)")</f>
        <v>BC846ALT1/D (96.0kB)</v>
      </c>
      <c r="C227" t="s">
        <v>19</v>
      </c>
      <c r="D227" t="s">
        <v>70</v>
      </c>
      <c r="E227" t="s">
        <v>95</v>
      </c>
      <c r="F227" t="s">
        <v>63</v>
      </c>
      <c r="G227" t="s">
        <v>64</v>
      </c>
      <c r="H227" t="s">
        <v>68</v>
      </c>
      <c r="I227" t="s">
        <v>121</v>
      </c>
      <c r="J227" t="s">
        <v>23</v>
      </c>
      <c r="K227" t="s">
        <v>207</v>
      </c>
      <c r="L227" t="s">
        <v>50</v>
      </c>
      <c r="M227" t="s">
        <v>208</v>
      </c>
      <c r="N227" t="s">
        <v>217</v>
      </c>
    </row>
    <row r="228" spans="1:14" ht="12.75">
      <c r="A228" t="str">
        <f>HYPERLINK("http://www.onsemi.com/PowerSolutions/product.do?id=BC847CTT1G","BC847CTT1G")</f>
        <v>BC847CTT1G</v>
      </c>
      <c r="B228" t="str">
        <f>HYPERLINK("http://www.onsemi.com/pub/Collateral/BC847ATT1-D.PDF","BC847ATT1/D (71.0kB)")</f>
        <v>BC847ATT1/D (71.0kB)</v>
      </c>
      <c r="C228" t="s">
        <v>19</v>
      </c>
      <c r="D228" t="s">
        <v>70</v>
      </c>
      <c r="E228" t="s">
        <v>95</v>
      </c>
      <c r="F228" t="s">
        <v>63</v>
      </c>
      <c r="G228" t="s">
        <v>64</v>
      </c>
      <c r="H228" t="s">
        <v>68</v>
      </c>
      <c r="I228" t="s">
        <v>121</v>
      </c>
      <c r="J228" t="s">
        <v>23</v>
      </c>
      <c r="K228" t="s">
        <v>47</v>
      </c>
      <c r="L228" t="s">
        <v>50</v>
      </c>
      <c r="M228" t="s">
        <v>181</v>
      </c>
      <c r="N228" t="s">
        <v>236</v>
      </c>
    </row>
    <row r="229" spans="1:14" ht="12.75">
      <c r="A229" t="str">
        <f>HYPERLINK("http://www.onsemi.com/PowerSolutions/product.do?id=BC847CWT1G","BC847CWT1G")</f>
        <v>BC847CWT1G</v>
      </c>
      <c r="B229" t="str">
        <f>HYPERLINK("http://www.onsemi.com/pub/Collateral/BC846AWT1-D.PDF","BC846AWT1/D (68.0kB)")</f>
        <v>BC846AWT1/D (68.0kB)</v>
      </c>
      <c r="C229" t="s">
        <v>19</v>
      </c>
      <c r="D229" t="s">
        <v>70</v>
      </c>
      <c r="E229" t="s">
        <v>95</v>
      </c>
      <c r="F229" t="s">
        <v>63</v>
      </c>
      <c r="G229" t="s">
        <v>64</v>
      </c>
      <c r="H229" t="s">
        <v>68</v>
      </c>
      <c r="I229" t="s">
        <v>121</v>
      </c>
      <c r="J229" t="s">
        <v>23</v>
      </c>
      <c r="K229" t="s">
        <v>180</v>
      </c>
      <c r="L229" t="s">
        <v>50</v>
      </c>
      <c r="M229" t="s">
        <v>226</v>
      </c>
      <c r="N229" t="s">
        <v>237</v>
      </c>
    </row>
    <row r="230" spans="1:14" ht="12.75">
      <c r="A230" t="str">
        <f>HYPERLINK("http://www.onsemi.com/PowerSolutions/product.do?id=BC848ALT1G","BC848ALT1G")</f>
        <v>BC848ALT1G</v>
      </c>
      <c r="B230" t="str">
        <f>HYPERLINK("http://www.onsemi.com/pub/Collateral/BC846ALT1-D.PDF","BC846ALT1/D (96.0kB)")</f>
        <v>BC846ALT1/D (96.0kB)</v>
      </c>
      <c r="C230" t="s">
        <v>19</v>
      </c>
      <c r="D230" t="s">
        <v>70</v>
      </c>
      <c r="E230" t="s">
        <v>95</v>
      </c>
      <c r="F230" t="s">
        <v>63</v>
      </c>
      <c r="G230" t="s">
        <v>86</v>
      </c>
      <c r="H230" t="s">
        <v>216</v>
      </c>
      <c r="I230" t="s">
        <v>42</v>
      </c>
      <c r="J230" t="s">
        <v>23</v>
      </c>
      <c r="K230" t="s">
        <v>207</v>
      </c>
      <c r="L230" t="s">
        <v>50</v>
      </c>
      <c r="M230" t="s">
        <v>208</v>
      </c>
      <c r="N230" t="s">
        <v>217</v>
      </c>
    </row>
    <row r="231" spans="1:14" ht="12.75">
      <c r="A231" t="str">
        <f>HYPERLINK("http://www.onsemi.com/PowerSolutions/product.do?id=BC848BLT1G","BC848BLT1G")</f>
        <v>BC848BLT1G</v>
      </c>
      <c r="B231" t="str">
        <f>HYPERLINK("http://www.onsemi.com/pub/Collateral/BC846ALT1-D.PDF","BC846ALT1/D (96.0kB)")</f>
        <v>BC846ALT1/D (96.0kB)</v>
      </c>
      <c r="C231" t="s">
        <v>19</v>
      </c>
      <c r="D231" t="s">
        <v>70</v>
      </c>
      <c r="E231" t="s">
        <v>95</v>
      </c>
      <c r="F231" t="s">
        <v>63</v>
      </c>
      <c r="G231" t="s">
        <v>86</v>
      </c>
      <c r="H231" t="s">
        <v>33</v>
      </c>
      <c r="I231" t="s">
        <v>65</v>
      </c>
      <c r="J231" t="s">
        <v>23</v>
      </c>
      <c r="K231" t="s">
        <v>207</v>
      </c>
      <c r="L231" t="s">
        <v>50</v>
      </c>
      <c r="M231" t="s">
        <v>208</v>
      </c>
      <c r="N231" t="s">
        <v>217</v>
      </c>
    </row>
    <row r="232" spans="1:14" ht="12.75">
      <c r="A232" t="str">
        <f>HYPERLINK("http://www.onsemi.com/PowerSolutions/product.do?id=BC848BLT3G","BC848BLT3G")</f>
        <v>BC848BLT3G</v>
      </c>
      <c r="B232" t="str">
        <f>HYPERLINK("http://www.onsemi.com/pub/Collateral/BC846ALT1-D.PDF","BC846ALT1/D (96.0kB)")</f>
        <v>BC846ALT1/D (96.0kB)</v>
      </c>
      <c r="C232" t="s">
        <v>19</v>
      </c>
      <c r="D232" t="s">
        <v>70</v>
      </c>
      <c r="E232" t="s">
        <v>95</v>
      </c>
      <c r="F232" t="s">
        <v>63</v>
      </c>
      <c r="G232" t="s">
        <v>86</v>
      </c>
      <c r="H232" t="s">
        <v>33</v>
      </c>
      <c r="I232" t="s">
        <v>65</v>
      </c>
      <c r="J232" t="s">
        <v>23</v>
      </c>
      <c r="K232" t="s">
        <v>207</v>
      </c>
      <c r="L232" t="s">
        <v>50</v>
      </c>
      <c r="M232" t="s">
        <v>208</v>
      </c>
      <c r="N232" t="s">
        <v>217</v>
      </c>
    </row>
    <row r="233" spans="1:14" ht="12.75">
      <c r="A233" t="str">
        <f>HYPERLINK("http://www.onsemi.com/PowerSolutions/product.do?id=BC848BWT1G","BC848BWT1G")</f>
        <v>BC848BWT1G</v>
      </c>
      <c r="B233" t="str">
        <f>HYPERLINK("http://www.onsemi.com/pub/Collateral/BC846AWT1-D.PDF","BC846AWT1/D (68.0kB)")</f>
        <v>BC846AWT1/D (68.0kB)</v>
      </c>
      <c r="C233" t="s">
        <v>19</v>
      </c>
      <c r="D233" t="s">
        <v>70</v>
      </c>
      <c r="E233" t="s">
        <v>95</v>
      </c>
      <c r="F233" t="s">
        <v>63</v>
      </c>
      <c r="G233" t="s">
        <v>86</v>
      </c>
      <c r="H233" t="s">
        <v>33</v>
      </c>
      <c r="I233" t="s">
        <v>65</v>
      </c>
      <c r="J233" t="s">
        <v>23</v>
      </c>
      <c r="K233" t="s">
        <v>180</v>
      </c>
      <c r="L233" t="s">
        <v>50</v>
      </c>
      <c r="M233" t="s">
        <v>226</v>
      </c>
      <c r="N233" t="s">
        <v>209</v>
      </c>
    </row>
    <row r="234" spans="1:14" ht="12.75">
      <c r="A234" t="str">
        <f>HYPERLINK("http://www.onsemi.com/PowerSolutions/product.do?id=BC848CDW1T1G","BC848CDW1T1G")</f>
        <v>BC848CDW1T1G</v>
      </c>
      <c r="B234" t="str">
        <f>HYPERLINK("http://www.onsemi.com/pub/Collateral/BC846BDW1T1-D.PDF","BC846BDW1T1/D (97.0kB)")</f>
        <v>BC846BDW1T1/D (97.0kB)</v>
      </c>
      <c r="C234" t="s">
        <v>19</v>
      </c>
      <c r="D234" t="s">
        <v>70</v>
      </c>
      <c r="E234" t="s">
        <v>218</v>
      </c>
      <c r="F234" t="s">
        <v>63</v>
      </c>
      <c r="G234" t="s">
        <v>86</v>
      </c>
      <c r="H234" t="s">
        <v>68</v>
      </c>
      <c r="I234" t="s">
        <v>121</v>
      </c>
      <c r="J234" t="s">
        <v>23</v>
      </c>
      <c r="K234" t="s">
        <v>219</v>
      </c>
      <c r="L234" t="s">
        <v>50</v>
      </c>
      <c r="M234" t="s">
        <v>220</v>
      </c>
      <c r="N234" t="s">
        <v>209</v>
      </c>
    </row>
    <row r="235" spans="1:14" ht="12.75">
      <c r="A235" t="str">
        <f>HYPERLINK("http://www.onsemi.com/PowerSolutions/product.do?id=BC848CLT1G","BC848CLT1G")</f>
        <v>BC848CLT1G</v>
      </c>
      <c r="B235" t="str">
        <f>HYPERLINK("http://www.onsemi.com/pub/Collateral/BC846ALT1-D.PDF","BC846ALT1/D (96.0kB)")</f>
        <v>BC846ALT1/D (96.0kB)</v>
      </c>
      <c r="C235" t="s">
        <v>19</v>
      </c>
      <c r="D235" t="s">
        <v>70</v>
      </c>
      <c r="E235" t="s">
        <v>95</v>
      </c>
      <c r="F235" t="s">
        <v>63</v>
      </c>
      <c r="G235" t="s">
        <v>86</v>
      </c>
      <c r="H235" t="s">
        <v>68</v>
      </c>
      <c r="I235" t="s">
        <v>121</v>
      </c>
      <c r="J235" t="s">
        <v>23</v>
      </c>
      <c r="K235" t="s">
        <v>207</v>
      </c>
      <c r="L235" t="s">
        <v>50</v>
      </c>
      <c r="M235" t="s">
        <v>208</v>
      </c>
      <c r="N235" t="s">
        <v>217</v>
      </c>
    </row>
    <row r="236" spans="1:14" ht="12.75">
      <c r="A236" t="str">
        <f>HYPERLINK("http://www.onsemi.com/PowerSolutions/product.do?id=BC848CPDW1T1G","BC848CPDW1T1G")</f>
        <v>BC848CPDW1T1G</v>
      </c>
      <c r="B236" t="str">
        <f>HYPERLINK("http://www.onsemi.com/pub/Collateral/BC846BPDW1T1-D.PDF","BC846BPDW1T1/D (97.0kB)")</f>
        <v>BC846BPDW1T1/D (97.0kB)</v>
      </c>
      <c r="C236" t="s">
        <v>19</v>
      </c>
      <c r="D236" t="s">
        <v>70</v>
      </c>
      <c r="E236" t="s">
        <v>223</v>
      </c>
      <c r="F236" t="s">
        <v>63</v>
      </c>
      <c r="G236" t="s">
        <v>86</v>
      </c>
      <c r="H236" t="s">
        <v>68</v>
      </c>
      <c r="I236" t="s">
        <v>121</v>
      </c>
      <c r="J236" t="s">
        <v>23</v>
      </c>
      <c r="K236" t="s">
        <v>219</v>
      </c>
      <c r="L236" t="s">
        <v>224</v>
      </c>
      <c r="M236" t="s">
        <v>220</v>
      </c>
      <c r="N236" t="s">
        <v>209</v>
      </c>
    </row>
    <row r="237" spans="1:14" ht="12.75">
      <c r="A237" t="str">
        <f>HYPERLINK("http://www.onsemi.com/PowerSolutions/product.do?id=BC848CWT1G","BC848CWT1G")</f>
        <v>BC848CWT1G</v>
      </c>
      <c r="B237" t="str">
        <f>HYPERLINK("http://www.onsemi.com/pub/Collateral/BC846AWT1-D.PDF","BC846AWT1/D (68.0kB)")</f>
        <v>BC846AWT1/D (68.0kB)</v>
      </c>
      <c r="C237" t="s">
        <v>19</v>
      </c>
      <c r="D237" t="s">
        <v>70</v>
      </c>
      <c r="E237" t="s">
        <v>95</v>
      </c>
      <c r="F237" t="s">
        <v>63</v>
      </c>
      <c r="G237" t="s">
        <v>86</v>
      </c>
      <c r="H237" t="s">
        <v>68</v>
      </c>
      <c r="I237" t="s">
        <v>121</v>
      </c>
      <c r="J237" t="s">
        <v>23</v>
      </c>
      <c r="K237" t="s">
        <v>180</v>
      </c>
      <c r="L237" t="s">
        <v>50</v>
      </c>
      <c r="M237" t="s">
        <v>226</v>
      </c>
      <c r="N237" t="s">
        <v>237</v>
      </c>
    </row>
    <row r="238" spans="1:14" ht="12.75">
      <c r="A238" t="str">
        <f>HYPERLINK("http://www.onsemi.com/PowerSolutions/product.do?id=BC849BLT1G","BC849BLT1G")</f>
        <v>BC849BLT1G</v>
      </c>
      <c r="B238" t="str">
        <f>HYPERLINK("http://www.onsemi.com/pub/Collateral/BC846ALT1-D.PDF","BC846ALT1/D (96.0kB)")</f>
        <v>BC846ALT1/D (96.0kB)</v>
      </c>
      <c r="C238" t="s">
        <v>19</v>
      </c>
      <c r="D238" t="s">
        <v>70</v>
      </c>
      <c r="E238" t="s">
        <v>95</v>
      </c>
      <c r="F238" t="s">
        <v>63</v>
      </c>
      <c r="G238" t="s">
        <v>86</v>
      </c>
      <c r="H238" t="s">
        <v>33</v>
      </c>
      <c r="I238" t="s">
        <v>65</v>
      </c>
      <c r="J238" t="s">
        <v>23</v>
      </c>
      <c r="K238" t="s">
        <v>207</v>
      </c>
      <c r="L238" t="s">
        <v>50</v>
      </c>
      <c r="M238" t="s">
        <v>208</v>
      </c>
      <c r="N238" t="s">
        <v>217</v>
      </c>
    </row>
    <row r="239" spans="1:14" ht="12.75">
      <c r="A239" t="str">
        <f>HYPERLINK("http://www.onsemi.com/PowerSolutions/product.do?id=BC849CLT1G","BC849CLT1G")</f>
        <v>BC849CLT1G</v>
      </c>
      <c r="B239" t="str">
        <f>HYPERLINK("http://www.onsemi.com/pub/Collateral/BC846ALT1-D.PDF","BC846ALT1/D (96.0kB)")</f>
        <v>BC846ALT1/D (96.0kB)</v>
      </c>
      <c r="C239" t="s">
        <v>19</v>
      </c>
      <c r="D239" t="s">
        <v>70</v>
      </c>
      <c r="E239" t="s">
        <v>95</v>
      </c>
      <c r="F239" t="s">
        <v>63</v>
      </c>
      <c r="G239" t="s">
        <v>86</v>
      </c>
      <c r="H239" t="s">
        <v>68</v>
      </c>
      <c r="I239" t="s">
        <v>121</v>
      </c>
      <c r="J239" t="s">
        <v>23</v>
      </c>
      <c r="K239" t="s">
        <v>207</v>
      </c>
      <c r="L239" t="s">
        <v>50</v>
      </c>
      <c r="M239" t="s">
        <v>208</v>
      </c>
      <c r="N239" t="s">
        <v>217</v>
      </c>
    </row>
    <row r="240" spans="1:14" ht="12.75">
      <c r="A240" t="str">
        <f>HYPERLINK("http://www.onsemi.com/PowerSolutions/product.do?id=BC850BLT1G","BC850BLT1G")</f>
        <v>BC850BLT1G</v>
      </c>
      <c r="B240" t="str">
        <f>HYPERLINK("http://www.onsemi.com/pub/Collateral/BC846ALT1-D.PDF","BC846ALT1/D (96.0kB)")</f>
        <v>BC846ALT1/D (96.0kB)</v>
      </c>
      <c r="C240" t="s">
        <v>19</v>
      </c>
      <c r="D240" t="s">
        <v>70</v>
      </c>
      <c r="E240" t="s">
        <v>95</v>
      </c>
      <c r="F240" t="s">
        <v>63</v>
      </c>
      <c r="G240" t="s">
        <v>64</v>
      </c>
      <c r="H240" t="s">
        <v>33</v>
      </c>
      <c r="I240" t="s">
        <v>65</v>
      </c>
      <c r="J240" t="s">
        <v>23</v>
      </c>
      <c r="K240" t="s">
        <v>207</v>
      </c>
      <c r="L240" t="s">
        <v>50</v>
      </c>
      <c r="M240" t="s">
        <v>208</v>
      </c>
      <c r="N240" t="s">
        <v>238</v>
      </c>
    </row>
    <row r="241" spans="1:14" ht="12.75">
      <c r="A241" t="str">
        <f>HYPERLINK("http://www.onsemi.com/PowerSolutions/product.do?id=BC850CLT1G","BC850CLT1G")</f>
        <v>BC850CLT1G</v>
      </c>
      <c r="B241" t="str">
        <f>HYPERLINK("http://www.onsemi.com/pub/Collateral/BC846ALT1-D.PDF","BC846ALT1/D (96.0kB)")</f>
        <v>BC846ALT1/D (96.0kB)</v>
      </c>
      <c r="C241" t="s">
        <v>19</v>
      </c>
      <c r="D241" t="s">
        <v>70</v>
      </c>
      <c r="E241" t="s">
        <v>95</v>
      </c>
      <c r="F241" t="s">
        <v>63</v>
      </c>
      <c r="G241" t="s">
        <v>64</v>
      </c>
      <c r="H241" t="s">
        <v>68</v>
      </c>
      <c r="I241" t="s">
        <v>121</v>
      </c>
      <c r="J241" t="s">
        <v>23</v>
      </c>
      <c r="K241" t="s">
        <v>207</v>
      </c>
      <c r="L241" t="s">
        <v>50</v>
      </c>
      <c r="M241" t="s">
        <v>208</v>
      </c>
      <c r="N241" t="s">
        <v>212</v>
      </c>
    </row>
    <row r="242" spans="1:14" ht="12.75">
      <c r="A242" t="str">
        <f>HYPERLINK("http://www.onsemi.com/PowerSolutions/product.do?id=BC856ALT1G","BC856ALT1G")</f>
        <v>BC856ALT1G</v>
      </c>
      <c r="B242" t="str">
        <f>HYPERLINK("http://www.onsemi.com/pub/Collateral/BC856ALT1-D.PDF","BC856ALT1/D (80.0kB)")</f>
        <v>BC856ALT1/D (80.0kB)</v>
      </c>
      <c r="C242" t="s">
        <v>19</v>
      </c>
      <c r="D242" t="s">
        <v>70</v>
      </c>
      <c r="E242" t="s">
        <v>99</v>
      </c>
      <c r="F242" t="s">
        <v>63</v>
      </c>
      <c r="G242" t="s">
        <v>200</v>
      </c>
      <c r="H242" t="s">
        <v>239</v>
      </c>
      <c r="I242" t="s">
        <v>58</v>
      </c>
      <c r="J242" t="s">
        <v>23</v>
      </c>
      <c r="K242" t="s">
        <v>207</v>
      </c>
      <c r="L242" t="s">
        <v>59</v>
      </c>
      <c r="M242" t="s">
        <v>208</v>
      </c>
      <c r="N242" t="s">
        <v>240</v>
      </c>
    </row>
    <row r="243" spans="1:14" ht="12.75">
      <c r="A243" t="str">
        <f>HYPERLINK("http://www.onsemi.com/PowerSolutions/product.do?id=BC856BDW1T1G","BC856BDW1T1G")</f>
        <v>BC856BDW1T1G</v>
      </c>
      <c r="B243" t="str">
        <f>HYPERLINK("http://www.onsemi.com/pub/Collateral/BC856BDW1T1-D.PDF","BC856BDW1T1/D (76.0kB)")</f>
        <v>BC856BDW1T1/D (76.0kB)</v>
      </c>
      <c r="C243" t="s">
        <v>19</v>
      </c>
      <c r="D243" t="s">
        <v>70</v>
      </c>
      <c r="E243" t="s">
        <v>241</v>
      </c>
      <c r="F243" t="s">
        <v>63</v>
      </c>
      <c r="G243" t="s">
        <v>200</v>
      </c>
      <c r="H243" t="s">
        <v>42</v>
      </c>
      <c r="I243" t="s">
        <v>67</v>
      </c>
      <c r="J243" t="s">
        <v>23</v>
      </c>
      <c r="K243" t="s">
        <v>219</v>
      </c>
      <c r="L243" t="s">
        <v>59</v>
      </c>
      <c r="M243" t="s">
        <v>220</v>
      </c>
      <c r="N243" t="s">
        <v>209</v>
      </c>
    </row>
    <row r="244" spans="1:14" ht="12.75">
      <c r="A244" t="str">
        <f>HYPERLINK("http://www.onsemi.com/PowerSolutions/product.do?id=BC856BDW1T3","BC856BDW1T3")</f>
        <v>BC856BDW1T3</v>
      </c>
      <c r="B244" t="str">
        <f>HYPERLINK("http://www.onsemi.com/pub/Collateral/BC856BDW1T1-D.PDF","BC856BDW1T1/D (76.0kB)")</f>
        <v>BC856BDW1T1/D (76.0kB)</v>
      </c>
      <c r="C244" t="s">
        <v>69</v>
      </c>
      <c r="D244" t="s">
        <v>70</v>
      </c>
      <c r="E244" t="s">
        <v>241</v>
      </c>
      <c r="F244" t="s">
        <v>63</v>
      </c>
      <c r="H244" t="s">
        <v>42</v>
      </c>
      <c r="I244" t="s">
        <v>67</v>
      </c>
      <c r="J244" t="s">
        <v>23</v>
      </c>
      <c r="K244" t="s">
        <v>219</v>
      </c>
      <c r="L244" t="s">
        <v>59</v>
      </c>
      <c r="M244" t="s">
        <v>220</v>
      </c>
      <c r="N244" t="s">
        <v>209</v>
      </c>
    </row>
    <row r="245" spans="1:14" ht="12.75">
      <c r="A245" t="str">
        <f>HYPERLINK("http://www.onsemi.com/PowerSolutions/product.do?id=BC856BDW1T3G","BC856BDW1T3G")</f>
        <v>BC856BDW1T3G</v>
      </c>
      <c r="B245" t="str">
        <f>HYPERLINK("http://www.onsemi.com/pub/Collateral/BC856BDW1T1-D.PDF","BC856BDW1T1/D (76.0kB)")</f>
        <v>BC856BDW1T1/D (76.0kB)</v>
      </c>
      <c r="C245" t="s">
        <v>19</v>
      </c>
      <c r="D245" t="s">
        <v>70</v>
      </c>
      <c r="E245" t="s">
        <v>241</v>
      </c>
      <c r="F245" t="s">
        <v>63</v>
      </c>
      <c r="G245" t="s">
        <v>200</v>
      </c>
      <c r="H245" t="s">
        <v>42</v>
      </c>
      <c r="I245" t="s">
        <v>67</v>
      </c>
      <c r="J245" t="s">
        <v>23</v>
      </c>
      <c r="K245" t="s">
        <v>219</v>
      </c>
      <c r="L245" t="s">
        <v>59</v>
      </c>
      <c r="M245" t="s">
        <v>220</v>
      </c>
      <c r="N245" t="s">
        <v>209</v>
      </c>
    </row>
    <row r="246" spans="1:14" ht="12.75">
      <c r="A246" t="str">
        <f>HYPERLINK("http://www.onsemi.com/PowerSolutions/product.do?id=BC856BLT1","BC856BLT1")</f>
        <v>BC856BLT1</v>
      </c>
      <c r="B246" t="str">
        <f>HYPERLINK("http://www.onsemi.com/pub/Collateral/BC856ALT1-D.PDF","BC856ALT1/D (80.0kB)")</f>
        <v>BC856ALT1/D (80.0kB)</v>
      </c>
      <c r="C246" t="s">
        <v>69</v>
      </c>
      <c r="D246" t="s">
        <v>70</v>
      </c>
      <c r="E246" t="s">
        <v>99</v>
      </c>
      <c r="F246" t="s">
        <v>63</v>
      </c>
      <c r="G246" t="s">
        <v>200</v>
      </c>
      <c r="H246" t="s">
        <v>42</v>
      </c>
      <c r="I246" t="s">
        <v>67</v>
      </c>
      <c r="J246" t="s">
        <v>23</v>
      </c>
      <c r="K246" t="s">
        <v>207</v>
      </c>
      <c r="L246" t="s">
        <v>59</v>
      </c>
      <c r="M246" t="s">
        <v>208</v>
      </c>
      <c r="N246" t="s">
        <v>100</v>
      </c>
    </row>
    <row r="247" spans="1:14" ht="12.75">
      <c r="A247" t="str">
        <f>HYPERLINK("http://www.onsemi.com/PowerSolutions/product.do?id=BC856BLT1G","BC856BLT1G")</f>
        <v>BC856BLT1G</v>
      </c>
      <c r="B247" t="str">
        <f>HYPERLINK("http://www.onsemi.com/pub/Collateral/BC856ALT1-D.PDF","BC856ALT1/D (80.0kB)")</f>
        <v>BC856ALT1/D (80.0kB)</v>
      </c>
      <c r="C247" t="s">
        <v>19</v>
      </c>
      <c r="D247" t="s">
        <v>70</v>
      </c>
      <c r="E247" t="s">
        <v>99</v>
      </c>
      <c r="F247" t="s">
        <v>63</v>
      </c>
      <c r="G247" t="s">
        <v>200</v>
      </c>
      <c r="H247" t="s">
        <v>42</v>
      </c>
      <c r="I247" t="s">
        <v>67</v>
      </c>
      <c r="J247" t="s">
        <v>23</v>
      </c>
      <c r="K247" t="s">
        <v>207</v>
      </c>
      <c r="L247" t="s">
        <v>59</v>
      </c>
      <c r="M247" t="s">
        <v>208</v>
      </c>
      <c r="N247" t="s">
        <v>242</v>
      </c>
    </row>
    <row r="248" spans="1:14" ht="12.75">
      <c r="A248" t="str">
        <f>HYPERLINK("http://www.onsemi.com/PowerSolutions/product.do?id=BC856BLT3G","BC856BLT3G")</f>
        <v>BC856BLT3G</v>
      </c>
      <c r="B248" t="str">
        <f>HYPERLINK("http://www.onsemi.com/pub/Collateral/BC856ALT1-D.PDF","BC856ALT1/D (80.0kB)")</f>
        <v>BC856ALT1/D (80.0kB)</v>
      </c>
      <c r="C248" t="s">
        <v>19</v>
      </c>
      <c r="D248" t="s">
        <v>70</v>
      </c>
      <c r="E248" t="s">
        <v>99</v>
      </c>
      <c r="F248" t="s">
        <v>63</v>
      </c>
      <c r="G248" t="s">
        <v>200</v>
      </c>
      <c r="H248" t="s">
        <v>42</v>
      </c>
      <c r="I248" t="s">
        <v>67</v>
      </c>
      <c r="J248" t="s">
        <v>23</v>
      </c>
      <c r="K248" t="s">
        <v>207</v>
      </c>
      <c r="L248" t="s">
        <v>59</v>
      </c>
      <c r="M248" t="s">
        <v>208</v>
      </c>
      <c r="N248" t="s">
        <v>100</v>
      </c>
    </row>
    <row r="249" spans="1:14" ht="12.75">
      <c r="A249" t="str">
        <f>HYPERLINK("http://www.onsemi.com/PowerSolutions/product.do?id=BC856BM3T5G","BC856BM3T5G")</f>
        <v>BC856BM3T5G</v>
      </c>
      <c r="B249" t="str">
        <f>HYPERLINK("http://www.onsemi.com/pub/Collateral/BC856BM3-D.PDF","BC856BM3/D (55.0kB)")</f>
        <v>BC856BM3/D (55.0kB)</v>
      </c>
      <c r="C249" t="s">
        <v>19</v>
      </c>
      <c r="D249" t="s">
        <v>70</v>
      </c>
      <c r="E249" t="s">
        <v>99</v>
      </c>
      <c r="F249" t="s">
        <v>63</v>
      </c>
      <c r="G249" t="s">
        <v>200</v>
      </c>
      <c r="H249" t="s">
        <v>42</v>
      </c>
      <c r="I249" t="s">
        <v>67</v>
      </c>
      <c r="J249" t="s">
        <v>23</v>
      </c>
      <c r="K249" t="s">
        <v>184</v>
      </c>
      <c r="L249" t="s">
        <v>59</v>
      </c>
      <c r="M249" t="s">
        <v>185</v>
      </c>
      <c r="N249" t="s">
        <v>222</v>
      </c>
    </row>
    <row r="250" spans="1:14" ht="12.75">
      <c r="A250" t="str">
        <f>HYPERLINK("http://www.onsemi.com/PowerSolutions/product.do?id=BC856BWT1G","BC856BWT1G")</f>
        <v>BC856BWT1G</v>
      </c>
      <c r="B250" t="str">
        <f>HYPERLINK("http://www.onsemi.com/pub/Collateral/BC856BWT1-D.PDF","BC856BWT1/D (76.0kB)")</f>
        <v>BC856BWT1/D (76.0kB)</v>
      </c>
      <c r="C250" t="s">
        <v>19</v>
      </c>
      <c r="D250" t="s">
        <v>70</v>
      </c>
      <c r="E250" t="s">
        <v>99</v>
      </c>
      <c r="F250" t="s">
        <v>63</v>
      </c>
      <c r="G250" t="s">
        <v>200</v>
      </c>
      <c r="H250" t="s">
        <v>42</v>
      </c>
      <c r="I250" t="s">
        <v>67</v>
      </c>
      <c r="J250" t="s">
        <v>23</v>
      </c>
      <c r="K250" t="s">
        <v>180</v>
      </c>
      <c r="L250" t="s">
        <v>59</v>
      </c>
      <c r="M250" t="s">
        <v>226</v>
      </c>
      <c r="N250" t="s">
        <v>209</v>
      </c>
    </row>
    <row r="251" spans="1:14" ht="12.75">
      <c r="A251" t="str">
        <f>HYPERLINK("http://www.onsemi.com/PowerSolutions/product.do?id=BC857ALT1G","BC857ALT1G")</f>
        <v>BC857ALT1G</v>
      </c>
      <c r="B251" t="str">
        <f>HYPERLINK("http://www.onsemi.com/pub/Collateral/BC856ALT1-D.PDF","BC856ALT1/D (80.0kB)")</f>
        <v>BC856ALT1/D (80.0kB)</v>
      </c>
      <c r="C251" t="s">
        <v>19</v>
      </c>
      <c r="D251" t="s">
        <v>70</v>
      </c>
      <c r="E251" t="s">
        <v>99</v>
      </c>
      <c r="F251" t="s">
        <v>63</v>
      </c>
      <c r="G251" t="s">
        <v>64</v>
      </c>
      <c r="H251" t="s">
        <v>239</v>
      </c>
      <c r="I251" t="s">
        <v>58</v>
      </c>
      <c r="J251" t="s">
        <v>23</v>
      </c>
      <c r="K251" t="s">
        <v>207</v>
      </c>
      <c r="L251" t="s">
        <v>59</v>
      </c>
      <c r="M251" t="s">
        <v>208</v>
      </c>
      <c r="N251" t="s">
        <v>238</v>
      </c>
    </row>
    <row r="252" spans="1:14" ht="12.75">
      <c r="A252" t="str">
        <f>HYPERLINK("http://www.onsemi.com/PowerSolutions/product.do?id=BC857BDW1T1G","BC857BDW1T1G")</f>
        <v>BC857BDW1T1G</v>
      </c>
      <c r="B252" t="str">
        <f>HYPERLINK("http://www.onsemi.com/pub/Collateral/BC856BDW1T1-D.PDF","BC856BDW1T1/D (76.0kB)")</f>
        <v>BC856BDW1T1/D (76.0kB)</v>
      </c>
      <c r="C252" t="s">
        <v>19</v>
      </c>
      <c r="D252" t="s">
        <v>70</v>
      </c>
      <c r="E252" t="s">
        <v>241</v>
      </c>
      <c r="F252" t="s">
        <v>63</v>
      </c>
      <c r="G252" t="s">
        <v>64</v>
      </c>
      <c r="H252" t="s">
        <v>42</v>
      </c>
      <c r="I252" t="s">
        <v>67</v>
      </c>
      <c r="J252" t="s">
        <v>23</v>
      </c>
      <c r="K252" t="s">
        <v>219</v>
      </c>
      <c r="L252" t="s">
        <v>59</v>
      </c>
      <c r="M252" t="s">
        <v>220</v>
      </c>
      <c r="N252" t="s">
        <v>209</v>
      </c>
    </row>
    <row r="253" spans="1:14" ht="12.75">
      <c r="A253" t="str">
        <f>HYPERLINK("http://www.onsemi.com/PowerSolutions/product.do?id=BC857BLT1G","BC857BLT1G")</f>
        <v>BC857BLT1G</v>
      </c>
      <c r="B253" t="str">
        <f>HYPERLINK("http://www.onsemi.com/pub/Collateral/BC856ALT1-D.PDF","BC856ALT1/D (80.0kB)")</f>
        <v>BC856ALT1/D (80.0kB)</v>
      </c>
      <c r="C253" t="s">
        <v>19</v>
      </c>
      <c r="D253" t="s">
        <v>70</v>
      </c>
      <c r="E253" t="s">
        <v>99</v>
      </c>
      <c r="F253" t="s">
        <v>63</v>
      </c>
      <c r="G253" t="s">
        <v>64</v>
      </c>
      <c r="H253" t="s">
        <v>42</v>
      </c>
      <c r="I253" t="s">
        <v>67</v>
      </c>
      <c r="J253" t="s">
        <v>23</v>
      </c>
      <c r="K253" t="s">
        <v>207</v>
      </c>
      <c r="L253" t="s">
        <v>59</v>
      </c>
      <c r="M253" t="s">
        <v>208</v>
      </c>
      <c r="N253" t="s">
        <v>238</v>
      </c>
    </row>
    <row r="254" spans="1:14" ht="12.75">
      <c r="A254" t="str">
        <f>HYPERLINK("http://www.onsemi.com/PowerSolutions/product.do?id=BC857BLT3G","BC857BLT3G")</f>
        <v>BC857BLT3G</v>
      </c>
      <c r="B254" t="str">
        <f>HYPERLINK("http://www.onsemi.com/pub/Collateral/BC856ALT1-D.PDF","BC856ALT1/D (80.0kB)")</f>
        <v>BC856ALT1/D (80.0kB)</v>
      </c>
      <c r="C254" t="s">
        <v>19</v>
      </c>
      <c r="D254" t="s">
        <v>70</v>
      </c>
      <c r="E254" t="s">
        <v>99</v>
      </c>
      <c r="F254" t="s">
        <v>63</v>
      </c>
      <c r="G254" t="s">
        <v>64</v>
      </c>
      <c r="H254" t="s">
        <v>243</v>
      </c>
      <c r="I254" t="s">
        <v>67</v>
      </c>
      <c r="J254" t="s">
        <v>23</v>
      </c>
      <c r="K254" t="s">
        <v>207</v>
      </c>
      <c r="L254" t="s">
        <v>59</v>
      </c>
      <c r="M254" t="s">
        <v>208</v>
      </c>
      <c r="N254" t="s">
        <v>238</v>
      </c>
    </row>
    <row r="255" spans="1:14" ht="12.75">
      <c r="A255" t="str">
        <f>HYPERLINK("http://www.onsemi.com/PowerSolutions/product.do?id=BC857BTT1G","BC857BTT1G")</f>
        <v>BC857BTT1G</v>
      </c>
      <c r="B255" t="str">
        <f>HYPERLINK("http://www.onsemi.com/pub/Collateral/BC857BTT1-D.PDF","BC857BTT1/D (74.0kB)")</f>
        <v>BC857BTT1/D (74.0kB)</v>
      </c>
      <c r="C255" t="s">
        <v>19</v>
      </c>
      <c r="D255" t="s">
        <v>70</v>
      </c>
      <c r="E255" t="s">
        <v>99</v>
      </c>
      <c r="F255" t="s">
        <v>63</v>
      </c>
      <c r="G255" t="s">
        <v>64</v>
      </c>
      <c r="H255" t="s">
        <v>42</v>
      </c>
      <c r="I255" t="s">
        <v>67</v>
      </c>
      <c r="J255" t="s">
        <v>23</v>
      </c>
      <c r="K255" t="s">
        <v>47</v>
      </c>
      <c r="L255" t="s">
        <v>59</v>
      </c>
      <c r="M255" t="s">
        <v>181</v>
      </c>
      <c r="N255" t="s">
        <v>222</v>
      </c>
    </row>
    <row r="256" spans="1:14" ht="12.75">
      <c r="A256" t="str">
        <f>HYPERLINK("http://www.onsemi.com/PowerSolutions/product.do?id=BC857BWT1G","BC857BWT1G")</f>
        <v>BC857BWT1G</v>
      </c>
      <c r="B256" t="str">
        <f>HYPERLINK("http://www.onsemi.com/pub/Collateral/BC856BWT1-D.PDF","BC856BWT1/D (76.0kB)")</f>
        <v>BC856BWT1/D (76.0kB)</v>
      </c>
      <c r="C256" t="s">
        <v>19</v>
      </c>
      <c r="D256" t="s">
        <v>70</v>
      </c>
      <c r="E256" t="s">
        <v>99</v>
      </c>
      <c r="F256" t="s">
        <v>63</v>
      </c>
      <c r="G256" t="s">
        <v>64</v>
      </c>
      <c r="H256" t="s">
        <v>42</v>
      </c>
      <c r="I256" t="s">
        <v>67</v>
      </c>
      <c r="J256" t="s">
        <v>23</v>
      </c>
      <c r="K256" t="s">
        <v>180</v>
      </c>
      <c r="L256" t="s">
        <v>59</v>
      </c>
      <c r="M256" t="s">
        <v>226</v>
      </c>
      <c r="N256" t="s">
        <v>209</v>
      </c>
    </row>
    <row r="257" spans="1:14" ht="12.75">
      <c r="A257" t="str">
        <f>HYPERLINK("http://www.onsemi.com/PowerSolutions/product.do?id=BC857CDW1T1G","BC857CDW1T1G")</f>
        <v>BC857CDW1T1G</v>
      </c>
      <c r="B257" t="str">
        <f>HYPERLINK("http://www.onsemi.com/pub/Collateral/BC856BDW1T1-D.PDF","BC856BDW1T1/D (76.0kB)")</f>
        <v>BC856BDW1T1/D (76.0kB)</v>
      </c>
      <c r="C257" t="s">
        <v>19</v>
      </c>
      <c r="D257" t="s">
        <v>70</v>
      </c>
      <c r="E257" t="s">
        <v>241</v>
      </c>
      <c r="F257" t="s">
        <v>63</v>
      </c>
      <c r="G257" t="s">
        <v>64</v>
      </c>
      <c r="H257" t="s">
        <v>68</v>
      </c>
      <c r="I257" t="s">
        <v>121</v>
      </c>
      <c r="J257" t="s">
        <v>23</v>
      </c>
      <c r="K257" t="s">
        <v>219</v>
      </c>
      <c r="L257" t="s">
        <v>59</v>
      </c>
      <c r="M257" t="s">
        <v>220</v>
      </c>
      <c r="N257" t="s">
        <v>209</v>
      </c>
    </row>
    <row r="258" spans="1:14" ht="12.75">
      <c r="A258" t="str">
        <f>HYPERLINK("http://www.onsemi.com/PowerSolutions/product.do?id=BC857CLT1G","BC857CLT1G")</f>
        <v>BC857CLT1G</v>
      </c>
      <c r="B258" t="str">
        <f>HYPERLINK("http://www.onsemi.com/pub/Collateral/BC856ALT1-D.PDF","BC856ALT1/D (80.0kB)")</f>
        <v>BC856ALT1/D (80.0kB)</v>
      </c>
      <c r="C258" t="s">
        <v>19</v>
      </c>
      <c r="D258" t="s">
        <v>70</v>
      </c>
      <c r="E258" t="s">
        <v>99</v>
      </c>
      <c r="F258" t="s">
        <v>63</v>
      </c>
      <c r="G258" t="s">
        <v>64</v>
      </c>
      <c r="H258" t="s">
        <v>68</v>
      </c>
      <c r="I258" t="s">
        <v>121</v>
      </c>
      <c r="J258" t="s">
        <v>23</v>
      </c>
      <c r="K258" t="s">
        <v>207</v>
      </c>
      <c r="L258" t="s">
        <v>59</v>
      </c>
      <c r="M258" t="s">
        <v>208</v>
      </c>
      <c r="N258" t="s">
        <v>212</v>
      </c>
    </row>
    <row r="259" spans="1:14" ht="12.75">
      <c r="A259" t="str">
        <f>HYPERLINK("http://www.onsemi.com/PowerSolutions/product.do?id=BC857CWT1G","BC857CWT1G")</f>
        <v>BC857CWT1G</v>
      </c>
      <c r="B259" t="str">
        <f>HYPERLINK("http://www.onsemi.com/pub/Collateral/BC856BWT1-D.PDF","BC856BWT1/D (76.0kB)")</f>
        <v>BC856BWT1/D (76.0kB)</v>
      </c>
      <c r="C259" t="s">
        <v>19</v>
      </c>
      <c r="D259" t="s">
        <v>70</v>
      </c>
      <c r="E259" t="s">
        <v>99</v>
      </c>
      <c r="F259" t="s">
        <v>63</v>
      </c>
      <c r="G259" t="s">
        <v>64</v>
      </c>
      <c r="H259" t="s">
        <v>68</v>
      </c>
      <c r="I259" t="s">
        <v>121</v>
      </c>
      <c r="J259" t="s">
        <v>23</v>
      </c>
      <c r="K259" t="s">
        <v>180</v>
      </c>
      <c r="L259" t="s">
        <v>59</v>
      </c>
      <c r="M259" t="s">
        <v>226</v>
      </c>
      <c r="N259" t="s">
        <v>237</v>
      </c>
    </row>
    <row r="260" spans="1:14" ht="12.75">
      <c r="A260" t="str">
        <f>HYPERLINK("http://www.onsemi.com/PowerSolutions/product.do?id=BC858ALT1G","BC858ALT1G")</f>
        <v>BC858ALT1G</v>
      </c>
      <c r="B260" t="str">
        <f>HYPERLINK("http://www.onsemi.com/pub/Collateral/BC856ALT1-D.PDF","BC856ALT1/D (80.0kB)")</f>
        <v>BC856ALT1/D (80.0kB)</v>
      </c>
      <c r="C260" t="s">
        <v>19</v>
      </c>
      <c r="D260" t="s">
        <v>70</v>
      </c>
      <c r="E260" t="s">
        <v>99</v>
      </c>
      <c r="F260" t="s">
        <v>63</v>
      </c>
      <c r="G260" t="s">
        <v>86</v>
      </c>
      <c r="H260" t="s">
        <v>239</v>
      </c>
      <c r="I260" t="s">
        <v>58</v>
      </c>
      <c r="J260" t="s">
        <v>23</v>
      </c>
      <c r="K260" t="s">
        <v>207</v>
      </c>
      <c r="L260" t="s">
        <v>59</v>
      </c>
      <c r="M260" t="s">
        <v>208</v>
      </c>
      <c r="N260" t="s">
        <v>238</v>
      </c>
    </row>
    <row r="261" spans="1:14" ht="12.75">
      <c r="A261" t="str">
        <f>HYPERLINK("http://www.onsemi.com/PowerSolutions/product.do?id=BC858AWT1G","BC858AWT1G")</f>
        <v>BC858AWT1G</v>
      </c>
      <c r="B261" t="str">
        <f>HYPERLINK("http://www.onsemi.com/pub/Collateral/BC856BWT1-D.PDF","BC856BWT1/D (76.0kB)")</f>
        <v>BC856BWT1/D (76.0kB)</v>
      </c>
      <c r="C261" t="s">
        <v>19</v>
      </c>
      <c r="D261" t="s">
        <v>70</v>
      </c>
      <c r="E261" t="s">
        <v>99</v>
      </c>
      <c r="F261" t="s">
        <v>63</v>
      </c>
      <c r="G261" t="s">
        <v>86</v>
      </c>
      <c r="H261" t="s">
        <v>239</v>
      </c>
      <c r="I261" t="s">
        <v>58</v>
      </c>
      <c r="J261" t="s">
        <v>23</v>
      </c>
      <c r="K261" t="s">
        <v>180</v>
      </c>
      <c r="L261" t="s">
        <v>59</v>
      </c>
      <c r="M261" t="s">
        <v>226</v>
      </c>
      <c r="N261" t="s">
        <v>209</v>
      </c>
    </row>
    <row r="262" spans="1:14" ht="12.75">
      <c r="A262" t="str">
        <f>HYPERLINK("http://www.onsemi.com/PowerSolutions/product.do?id=BC858BLT1G","BC858BLT1G")</f>
        <v>BC858BLT1G</v>
      </c>
      <c r="B262" t="str">
        <f>HYPERLINK("http://www.onsemi.com/pub/Collateral/BC856ALT1-D.PDF","BC856ALT1/D (80.0kB)")</f>
        <v>BC856ALT1/D (80.0kB)</v>
      </c>
      <c r="C262" t="s">
        <v>19</v>
      </c>
      <c r="D262" t="s">
        <v>70</v>
      </c>
      <c r="E262" t="s">
        <v>99</v>
      </c>
      <c r="F262" t="s">
        <v>63</v>
      </c>
      <c r="G262" t="s">
        <v>86</v>
      </c>
      <c r="H262" t="s">
        <v>42</v>
      </c>
      <c r="I262" t="s">
        <v>67</v>
      </c>
      <c r="J262" t="s">
        <v>23</v>
      </c>
      <c r="K262" t="s">
        <v>207</v>
      </c>
      <c r="L262" t="s">
        <v>59</v>
      </c>
      <c r="M262" t="s">
        <v>208</v>
      </c>
      <c r="N262" t="s">
        <v>238</v>
      </c>
    </row>
    <row r="263" spans="1:14" ht="12.75">
      <c r="A263" t="str">
        <f>HYPERLINK("http://www.onsemi.com/PowerSolutions/product.do?id=BC858BLT3G","BC858BLT3G")</f>
        <v>BC858BLT3G</v>
      </c>
      <c r="B263" t="str">
        <f>HYPERLINK("http://www.onsemi.com/pub/Collateral/BC856ALT1-D.PDF","BC856ALT1/D (80.0kB)")</f>
        <v>BC856ALT1/D (80.0kB)</v>
      </c>
      <c r="C263" t="s">
        <v>19</v>
      </c>
      <c r="D263" t="s">
        <v>70</v>
      </c>
      <c r="E263" t="s">
        <v>99</v>
      </c>
      <c r="F263" t="s">
        <v>63</v>
      </c>
      <c r="G263" t="s">
        <v>86</v>
      </c>
      <c r="H263" t="s">
        <v>42</v>
      </c>
      <c r="I263" t="s">
        <v>67</v>
      </c>
      <c r="J263" t="s">
        <v>23</v>
      </c>
      <c r="K263" t="s">
        <v>207</v>
      </c>
      <c r="L263" t="s">
        <v>59</v>
      </c>
      <c r="M263" t="s">
        <v>208</v>
      </c>
      <c r="N263" t="s">
        <v>238</v>
      </c>
    </row>
    <row r="264" spans="1:14" ht="12.75">
      <c r="A264" t="str">
        <f>HYPERLINK("http://www.onsemi.com/PowerSolutions/product.do?id=BC858BWT1G","BC858BWT1G")</f>
        <v>BC858BWT1G</v>
      </c>
      <c r="B264" t="str">
        <f>HYPERLINK("http://www.onsemi.com/pub/Collateral/BC856BWT1-D.PDF","BC856BWT1/D (76.0kB)")</f>
        <v>BC856BWT1/D (76.0kB)</v>
      </c>
      <c r="C264" t="s">
        <v>19</v>
      </c>
      <c r="D264" t="s">
        <v>70</v>
      </c>
      <c r="E264" t="s">
        <v>99</v>
      </c>
      <c r="F264" t="s">
        <v>63</v>
      </c>
      <c r="G264" t="s">
        <v>86</v>
      </c>
      <c r="H264" t="s">
        <v>42</v>
      </c>
      <c r="I264" t="s">
        <v>67</v>
      </c>
      <c r="J264" t="s">
        <v>23</v>
      </c>
      <c r="K264" t="s">
        <v>180</v>
      </c>
      <c r="L264" t="s">
        <v>59</v>
      </c>
      <c r="M264" t="s">
        <v>226</v>
      </c>
      <c r="N264" t="s">
        <v>209</v>
      </c>
    </row>
    <row r="265" spans="1:14" ht="12.75">
      <c r="A265" t="str">
        <f>HYPERLINK("http://www.onsemi.com/PowerSolutions/product.do?id=BC858CDXV6T1G","BC858CDXV6T1G")</f>
        <v>BC858CDXV6T1G</v>
      </c>
      <c r="B265" t="str">
        <f>HYPERLINK("http://www.onsemi.com/pub/Collateral/BC858CDXV6T1-D.PDF","BC858CDXV6T1/D (56.0kB)")</f>
        <v>BC858CDXV6T1/D (56.0kB)</v>
      </c>
      <c r="C265" t="s">
        <v>19</v>
      </c>
      <c r="D265" t="s">
        <v>70</v>
      </c>
      <c r="E265" t="s">
        <v>244</v>
      </c>
      <c r="F265" t="s">
        <v>63</v>
      </c>
      <c r="G265" t="s">
        <v>86</v>
      </c>
      <c r="H265" t="s">
        <v>68</v>
      </c>
      <c r="I265" t="s">
        <v>121</v>
      </c>
      <c r="J265" t="s">
        <v>23</v>
      </c>
      <c r="K265" t="s">
        <v>234</v>
      </c>
      <c r="L265" t="s">
        <v>59</v>
      </c>
      <c r="M265" t="s">
        <v>231</v>
      </c>
      <c r="N265" t="s">
        <v>56</v>
      </c>
    </row>
    <row r="266" spans="1:14" ht="12.75">
      <c r="A266" t="str">
        <f>HYPERLINK("http://www.onsemi.com/PowerSolutions/product.do?id=BC858CLT1","BC858CLT1")</f>
        <v>BC858CLT1</v>
      </c>
      <c r="B266" t="str">
        <f>HYPERLINK("http://www.onsemi.com/pub/Collateral/BC856ALT1-D.PDF","BC856ALT1/D (80.0kB)")</f>
        <v>BC856ALT1/D (80.0kB)</v>
      </c>
      <c r="C266" t="s">
        <v>69</v>
      </c>
      <c r="D266" t="s">
        <v>70</v>
      </c>
      <c r="E266" t="s">
        <v>99</v>
      </c>
      <c r="F266" t="s">
        <v>63</v>
      </c>
      <c r="G266" t="s">
        <v>86</v>
      </c>
      <c r="H266" t="s">
        <v>68</v>
      </c>
      <c r="I266" t="s">
        <v>121</v>
      </c>
      <c r="J266" t="s">
        <v>23</v>
      </c>
      <c r="K266" t="s">
        <v>207</v>
      </c>
      <c r="L266" t="s">
        <v>59</v>
      </c>
      <c r="M266" t="s">
        <v>208</v>
      </c>
      <c r="N266" t="s">
        <v>212</v>
      </c>
    </row>
    <row r="267" spans="1:14" ht="12.75">
      <c r="A267" t="str">
        <f>HYPERLINK("http://www.onsemi.com/PowerSolutions/product.do?id=BC858CLT1G","BC858CLT1G")</f>
        <v>BC858CLT1G</v>
      </c>
      <c r="B267" t="str">
        <f>HYPERLINK("http://www.onsemi.com/pub/Collateral/BC856ALT1-D.PDF","BC856ALT1/D (80.0kB)")</f>
        <v>BC856ALT1/D (80.0kB)</v>
      </c>
      <c r="C267" t="s">
        <v>19</v>
      </c>
      <c r="D267" t="s">
        <v>70</v>
      </c>
      <c r="E267" t="s">
        <v>99</v>
      </c>
      <c r="F267" t="s">
        <v>63</v>
      </c>
      <c r="G267" t="s">
        <v>86</v>
      </c>
      <c r="H267" t="s">
        <v>68</v>
      </c>
      <c r="I267" t="s">
        <v>121</v>
      </c>
      <c r="J267" t="s">
        <v>23</v>
      </c>
      <c r="K267" t="s">
        <v>207</v>
      </c>
      <c r="L267" t="s">
        <v>59</v>
      </c>
      <c r="M267" t="s">
        <v>208</v>
      </c>
      <c r="N267" t="s">
        <v>212</v>
      </c>
    </row>
    <row r="268" spans="1:14" ht="12.75">
      <c r="A268" t="str">
        <f>HYPERLINK("http://www.onsemi.com/PowerSolutions/product.do?id=BC858CLT3G","BC858CLT3G")</f>
        <v>BC858CLT3G</v>
      </c>
      <c r="B268" t="str">
        <f>HYPERLINK("http://www.onsemi.com/pub/Collateral/BC856ALT1-D.PDF","BC856ALT1/D (80.0kB)")</f>
        <v>BC856ALT1/D (80.0kB)</v>
      </c>
      <c r="C268" t="s">
        <v>19</v>
      </c>
      <c r="D268" t="s">
        <v>70</v>
      </c>
      <c r="E268" t="s">
        <v>99</v>
      </c>
      <c r="F268" t="s">
        <v>63</v>
      </c>
      <c r="G268" t="s">
        <v>86</v>
      </c>
      <c r="H268" t="s">
        <v>68</v>
      </c>
      <c r="I268" t="s">
        <v>121</v>
      </c>
      <c r="J268" t="s">
        <v>23</v>
      </c>
      <c r="K268" t="s">
        <v>207</v>
      </c>
      <c r="L268" t="s">
        <v>59</v>
      </c>
      <c r="M268" t="s">
        <v>208</v>
      </c>
      <c r="N268" t="s">
        <v>212</v>
      </c>
    </row>
    <row r="269" spans="1:14" ht="12.75">
      <c r="A269" t="str">
        <f>HYPERLINK("http://www.onsemi.com/PowerSolutions/product.do?id=BC859BLT3G","BC859BLT3G")</f>
        <v>BC859BLT3G</v>
      </c>
      <c r="B269" t="str">
        <f>HYPERLINK("http://www.onsemi.com/pub/Collateral/BC856ALT1-D.PDF","BC856ALT1/D (80.0kB)")</f>
        <v>BC856ALT1/D (80.0kB)</v>
      </c>
      <c r="C269" t="s">
        <v>19</v>
      </c>
      <c r="D269" t="s">
        <v>70</v>
      </c>
      <c r="E269" t="s">
        <v>99</v>
      </c>
      <c r="F269" t="s">
        <v>63</v>
      </c>
      <c r="G269" t="s">
        <v>86</v>
      </c>
      <c r="H269" t="s">
        <v>42</v>
      </c>
      <c r="I269" t="s">
        <v>67</v>
      </c>
      <c r="J269" t="s">
        <v>23</v>
      </c>
      <c r="K269" t="s">
        <v>207</v>
      </c>
      <c r="L269" t="s">
        <v>59</v>
      </c>
      <c r="M269" t="s">
        <v>208</v>
      </c>
      <c r="N269" t="s">
        <v>238</v>
      </c>
    </row>
    <row r="270" spans="1:14" ht="12.75">
      <c r="A270" t="str">
        <f>HYPERLINK("http://www.onsemi.com/PowerSolutions/product.do?id=BCP53-10T1","BCP53-10T1")</f>
        <v>BCP53-10T1</v>
      </c>
      <c r="B270" t="str">
        <f aca="true" t="shared" si="11" ref="B270:B277">HYPERLINK("http://www.onsemi.com/pub/Collateral/BCP53T1-D.PDF","BCP53T1/D (78.0kB)")</f>
        <v>BCP53T1/D (78.0kB)</v>
      </c>
      <c r="C270" t="s">
        <v>69</v>
      </c>
      <c r="D270" t="s">
        <v>70</v>
      </c>
      <c r="E270" t="s">
        <v>202</v>
      </c>
      <c r="F270" t="s">
        <v>176</v>
      </c>
      <c r="G270" t="s">
        <v>111</v>
      </c>
      <c r="H270" t="s">
        <v>245</v>
      </c>
      <c r="I270" t="s">
        <v>138</v>
      </c>
      <c r="K270" t="s">
        <v>176</v>
      </c>
      <c r="L270" t="s">
        <v>59</v>
      </c>
      <c r="M270" t="s">
        <v>28</v>
      </c>
      <c r="N270" t="s">
        <v>100</v>
      </c>
    </row>
    <row r="271" spans="1:14" ht="12.75">
      <c r="A271" t="str">
        <f>HYPERLINK("http://www.onsemi.com/PowerSolutions/product.do?id=BCP53-10T1G","BCP53-10T1G")</f>
        <v>BCP53-10T1G</v>
      </c>
      <c r="B271" t="str">
        <f t="shared" si="11"/>
        <v>BCP53T1/D (78.0kB)</v>
      </c>
      <c r="C271" t="s">
        <v>19</v>
      </c>
      <c r="D271" t="s">
        <v>70</v>
      </c>
      <c r="E271" t="s">
        <v>202</v>
      </c>
      <c r="F271" t="s">
        <v>176</v>
      </c>
      <c r="G271" t="s">
        <v>111</v>
      </c>
      <c r="H271" t="s">
        <v>245</v>
      </c>
      <c r="I271" t="s">
        <v>138</v>
      </c>
      <c r="K271" t="s">
        <v>176</v>
      </c>
      <c r="L271" t="s">
        <v>59</v>
      </c>
      <c r="M271" t="s">
        <v>28</v>
      </c>
      <c r="N271" t="s">
        <v>100</v>
      </c>
    </row>
    <row r="272" spans="1:14" ht="12.75">
      <c r="A272" t="str">
        <f>HYPERLINK("http://www.onsemi.com/PowerSolutions/product.do?id=BCP53-16T1","BCP53-16T1")</f>
        <v>BCP53-16T1</v>
      </c>
      <c r="B272" t="str">
        <f t="shared" si="11"/>
        <v>BCP53T1/D (78.0kB)</v>
      </c>
      <c r="C272" t="s">
        <v>69</v>
      </c>
      <c r="D272" t="s">
        <v>70</v>
      </c>
      <c r="E272" t="s">
        <v>202</v>
      </c>
      <c r="F272" t="s">
        <v>176</v>
      </c>
      <c r="G272" t="s">
        <v>111</v>
      </c>
      <c r="H272" t="s">
        <v>23</v>
      </c>
      <c r="I272" t="s">
        <v>58</v>
      </c>
      <c r="K272" t="s">
        <v>176</v>
      </c>
      <c r="L272" t="s">
        <v>59</v>
      </c>
      <c r="M272" t="s">
        <v>28</v>
      </c>
      <c r="N272" t="s">
        <v>100</v>
      </c>
    </row>
    <row r="273" spans="1:14" ht="12.75">
      <c r="A273" t="str">
        <f>HYPERLINK("http://www.onsemi.com/PowerSolutions/product.do?id=BCP53-16T1G","BCP53-16T1G")</f>
        <v>BCP53-16T1G</v>
      </c>
      <c r="B273" t="str">
        <f t="shared" si="11"/>
        <v>BCP53T1/D (78.0kB)</v>
      </c>
      <c r="C273" t="s">
        <v>19</v>
      </c>
      <c r="D273" t="s">
        <v>70</v>
      </c>
      <c r="E273" t="s">
        <v>202</v>
      </c>
      <c r="F273" t="s">
        <v>176</v>
      </c>
      <c r="G273" t="s">
        <v>111</v>
      </c>
      <c r="H273" t="s">
        <v>23</v>
      </c>
      <c r="I273" t="s">
        <v>58</v>
      </c>
      <c r="K273" t="s">
        <v>176</v>
      </c>
      <c r="L273" t="s">
        <v>59</v>
      </c>
      <c r="M273" t="s">
        <v>28</v>
      </c>
      <c r="N273" t="s">
        <v>246</v>
      </c>
    </row>
    <row r="274" spans="1:14" ht="12.75">
      <c r="A274" t="str">
        <f>HYPERLINK("http://www.onsemi.com/PowerSolutions/product.do?id=BCP53-16T3","BCP53-16T3")</f>
        <v>BCP53-16T3</v>
      </c>
      <c r="B274" t="str">
        <f t="shared" si="11"/>
        <v>BCP53T1/D (78.0kB)</v>
      </c>
      <c r="C274" t="s">
        <v>69</v>
      </c>
      <c r="D274" t="s">
        <v>70</v>
      </c>
      <c r="E274" t="s">
        <v>202</v>
      </c>
      <c r="F274" t="s">
        <v>176</v>
      </c>
      <c r="G274" t="s">
        <v>111</v>
      </c>
      <c r="H274" t="s">
        <v>23</v>
      </c>
      <c r="I274" t="s">
        <v>58</v>
      </c>
      <c r="K274" t="s">
        <v>176</v>
      </c>
      <c r="L274" t="s">
        <v>59</v>
      </c>
      <c r="M274" t="s">
        <v>28</v>
      </c>
      <c r="N274" t="s">
        <v>100</v>
      </c>
    </row>
    <row r="275" spans="1:14" ht="12.75">
      <c r="A275" t="str">
        <f>HYPERLINK("http://www.onsemi.com/PowerSolutions/product.do?id=BCP53-16T3G","BCP53-16T3G")</f>
        <v>BCP53-16T3G</v>
      </c>
      <c r="B275" t="str">
        <f t="shared" si="11"/>
        <v>BCP53T1/D (78.0kB)</v>
      </c>
      <c r="C275" t="s">
        <v>19</v>
      </c>
      <c r="D275" t="s">
        <v>70</v>
      </c>
      <c r="E275" t="s">
        <v>247</v>
      </c>
      <c r="F275" t="s">
        <v>176</v>
      </c>
      <c r="G275" t="s">
        <v>111</v>
      </c>
      <c r="H275" t="s">
        <v>23</v>
      </c>
      <c r="I275" t="s">
        <v>58</v>
      </c>
      <c r="K275" t="s">
        <v>176</v>
      </c>
      <c r="L275" t="s">
        <v>59</v>
      </c>
      <c r="M275" t="s">
        <v>28</v>
      </c>
      <c r="N275" t="s">
        <v>100</v>
      </c>
    </row>
    <row r="276" spans="1:14" ht="12.75">
      <c r="A276" t="str">
        <f>HYPERLINK("http://www.onsemi.com/PowerSolutions/product.do?id=BCP53T1","BCP53T1")</f>
        <v>BCP53T1</v>
      </c>
      <c r="B276" t="str">
        <f t="shared" si="11"/>
        <v>BCP53T1/D (78.0kB)</v>
      </c>
      <c r="C276" t="s">
        <v>69</v>
      </c>
      <c r="D276" t="s">
        <v>70</v>
      </c>
      <c r="E276" t="s">
        <v>202</v>
      </c>
      <c r="F276" t="s">
        <v>176</v>
      </c>
      <c r="G276" t="s">
        <v>111</v>
      </c>
      <c r="H276" t="s">
        <v>41</v>
      </c>
      <c r="I276" t="s">
        <v>58</v>
      </c>
      <c r="K276" t="s">
        <v>176</v>
      </c>
      <c r="L276" t="s">
        <v>59</v>
      </c>
      <c r="M276" t="s">
        <v>28</v>
      </c>
      <c r="N276" t="s">
        <v>100</v>
      </c>
    </row>
    <row r="277" spans="1:14" ht="12.75">
      <c r="A277" t="str">
        <f>HYPERLINK("http://www.onsemi.com/PowerSolutions/product.do?id=BCP53T1G","BCP53T1G")</f>
        <v>BCP53T1G</v>
      </c>
      <c r="B277" t="str">
        <f t="shared" si="11"/>
        <v>BCP53T1/D (78.0kB)</v>
      </c>
      <c r="C277" t="s">
        <v>19</v>
      </c>
      <c r="D277" t="s">
        <v>70</v>
      </c>
      <c r="E277" t="s">
        <v>202</v>
      </c>
      <c r="F277" t="s">
        <v>176</v>
      </c>
      <c r="G277" t="s">
        <v>111</v>
      </c>
      <c r="H277" t="s">
        <v>41</v>
      </c>
      <c r="I277" t="s">
        <v>58</v>
      </c>
      <c r="K277" t="s">
        <v>176</v>
      </c>
      <c r="L277" t="s">
        <v>59</v>
      </c>
      <c r="M277" t="s">
        <v>28</v>
      </c>
      <c r="N277" t="s">
        <v>248</v>
      </c>
    </row>
    <row r="278" spans="1:14" ht="12.75">
      <c r="A278" t="str">
        <f>HYPERLINK("http://www.onsemi.com/PowerSolutions/product.do?id=BCP56-10T1","BCP56-10T1")</f>
        <v>BCP56-10T1</v>
      </c>
      <c r="B278" t="str">
        <f aca="true" t="shared" si="12" ref="B278:B287">HYPERLINK("http://www.onsemi.com/pub/Collateral/BCP56T1-D.PDF","BCP56T1/D (65.0kB)")</f>
        <v>BCP56T1/D (65.0kB)</v>
      </c>
      <c r="C278" t="s">
        <v>69</v>
      </c>
      <c r="D278" t="s">
        <v>70</v>
      </c>
      <c r="E278" t="s">
        <v>197</v>
      </c>
      <c r="F278" t="s">
        <v>31</v>
      </c>
      <c r="G278" t="s">
        <v>111</v>
      </c>
      <c r="H278" t="s">
        <v>245</v>
      </c>
      <c r="I278" t="s">
        <v>138</v>
      </c>
      <c r="K278" t="s">
        <v>176</v>
      </c>
      <c r="L278" t="s">
        <v>50</v>
      </c>
      <c r="M278" t="s">
        <v>28</v>
      </c>
      <c r="N278" t="s">
        <v>100</v>
      </c>
    </row>
    <row r="279" spans="1:14" ht="12.75">
      <c r="A279" t="str">
        <f>HYPERLINK("http://www.onsemi.com/PowerSolutions/product.do?id=BCP56-10T1G","BCP56-10T1G")</f>
        <v>BCP56-10T1G</v>
      </c>
      <c r="B279" t="str">
        <f t="shared" si="12"/>
        <v>BCP56T1/D (65.0kB)</v>
      </c>
      <c r="C279" t="s">
        <v>19</v>
      </c>
      <c r="D279" t="s">
        <v>70</v>
      </c>
      <c r="E279" t="s">
        <v>197</v>
      </c>
      <c r="F279" t="s">
        <v>31</v>
      </c>
      <c r="G279" t="s">
        <v>111</v>
      </c>
      <c r="H279" t="s">
        <v>245</v>
      </c>
      <c r="I279" t="s">
        <v>138</v>
      </c>
      <c r="K279" t="s">
        <v>176</v>
      </c>
      <c r="L279" t="s">
        <v>50</v>
      </c>
      <c r="M279" t="s">
        <v>28</v>
      </c>
      <c r="N279" t="s">
        <v>249</v>
      </c>
    </row>
    <row r="280" spans="1:14" ht="12.75">
      <c r="A280" t="str">
        <f>HYPERLINK("http://www.onsemi.com/PowerSolutions/product.do?id=BCP56-16T1","BCP56-16T1")</f>
        <v>BCP56-16T1</v>
      </c>
      <c r="B280" t="str">
        <f t="shared" si="12"/>
        <v>BCP56T1/D (65.0kB)</v>
      </c>
      <c r="C280" t="s">
        <v>69</v>
      </c>
      <c r="D280" t="s">
        <v>70</v>
      </c>
      <c r="E280" t="s">
        <v>197</v>
      </c>
      <c r="F280" t="s">
        <v>31</v>
      </c>
      <c r="G280" t="s">
        <v>111</v>
      </c>
      <c r="H280" t="s">
        <v>23</v>
      </c>
      <c r="I280" t="s">
        <v>58</v>
      </c>
      <c r="K280" t="s">
        <v>176</v>
      </c>
      <c r="L280" t="s">
        <v>50</v>
      </c>
      <c r="M280" t="s">
        <v>28</v>
      </c>
      <c r="N280" t="s">
        <v>100</v>
      </c>
    </row>
    <row r="281" spans="1:14" ht="12.75">
      <c r="A281" t="str">
        <f>HYPERLINK("http://www.onsemi.com/PowerSolutions/product.do?id=BCP56-16T1G","BCP56-16T1G")</f>
        <v>BCP56-16T1G</v>
      </c>
      <c r="B281" t="str">
        <f t="shared" si="12"/>
        <v>BCP56T1/D (65.0kB)</v>
      </c>
      <c r="C281" t="s">
        <v>19</v>
      </c>
      <c r="D281" t="s">
        <v>70</v>
      </c>
      <c r="E281" t="s">
        <v>197</v>
      </c>
      <c r="F281" t="s">
        <v>31</v>
      </c>
      <c r="G281" t="s">
        <v>111</v>
      </c>
      <c r="H281" t="s">
        <v>23</v>
      </c>
      <c r="I281" t="s">
        <v>58</v>
      </c>
      <c r="K281" t="s">
        <v>176</v>
      </c>
      <c r="L281" t="s">
        <v>50</v>
      </c>
      <c r="M281" t="s">
        <v>28</v>
      </c>
      <c r="N281" t="s">
        <v>250</v>
      </c>
    </row>
    <row r="282" spans="1:14" ht="12.75">
      <c r="A282" t="str">
        <f>HYPERLINK("http://www.onsemi.com/PowerSolutions/product.do?id=BCP56-16T3","BCP56-16T3")</f>
        <v>BCP56-16T3</v>
      </c>
      <c r="B282" t="str">
        <f t="shared" si="12"/>
        <v>BCP56T1/D (65.0kB)</v>
      </c>
      <c r="C282" t="s">
        <v>69</v>
      </c>
      <c r="D282" t="s">
        <v>70</v>
      </c>
      <c r="E282" t="s">
        <v>197</v>
      </c>
      <c r="F282" t="s">
        <v>31</v>
      </c>
      <c r="G282" t="s">
        <v>111</v>
      </c>
      <c r="H282" t="s">
        <v>23</v>
      </c>
      <c r="I282" t="s">
        <v>58</v>
      </c>
      <c r="K282" t="s">
        <v>176</v>
      </c>
      <c r="L282" t="s">
        <v>50</v>
      </c>
      <c r="M282" t="s">
        <v>28</v>
      </c>
      <c r="N282" t="s">
        <v>100</v>
      </c>
    </row>
    <row r="283" spans="1:14" ht="12.75">
      <c r="A283" t="str">
        <f>HYPERLINK("http://www.onsemi.com/PowerSolutions/product.do?id=BCP56-16T3G","BCP56-16T3G")</f>
        <v>BCP56-16T3G</v>
      </c>
      <c r="B283" t="str">
        <f t="shared" si="12"/>
        <v>BCP56T1/D (65.0kB)</v>
      </c>
      <c r="C283" t="s">
        <v>19</v>
      </c>
      <c r="D283" t="s">
        <v>70</v>
      </c>
      <c r="E283" t="s">
        <v>197</v>
      </c>
      <c r="F283" t="s">
        <v>31</v>
      </c>
      <c r="G283" t="s">
        <v>111</v>
      </c>
      <c r="H283" t="s">
        <v>23</v>
      </c>
      <c r="I283" t="s">
        <v>58</v>
      </c>
      <c r="K283" t="s">
        <v>176</v>
      </c>
      <c r="L283" t="s">
        <v>50</v>
      </c>
      <c r="M283" t="s">
        <v>28</v>
      </c>
      <c r="N283" t="s">
        <v>100</v>
      </c>
    </row>
    <row r="284" spans="1:14" ht="12.75">
      <c r="A284" t="str">
        <f>HYPERLINK("http://www.onsemi.com/PowerSolutions/product.do?id=BCP56T1","BCP56T1")</f>
        <v>BCP56T1</v>
      </c>
      <c r="B284" t="str">
        <f t="shared" si="12"/>
        <v>BCP56T1/D (65.0kB)</v>
      </c>
      <c r="C284" t="s">
        <v>69</v>
      </c>
      <c r="D284" t="s">
        <v>70</v>
      </c>
      <c r="E284" t="s">
        <v>197</v>
      </c>
      <c r="F284" t="s">
        <v>31</v>
      </c>
      <c r="G284" t="s">
        <v>111</v>
      </c>
      <c r="H284" t="s">
        <v>41</v>
      </c>
      <c r="I284" t="s">
        <v>58</v>
      </c>
      <c r="K284" t="s">
        <v>176</v>
      </c>
      <c r="L284" t="s">
        <v>50</v>
      </c>
      <c r="M284" t="s">
        <v>28</v>
      </c>
      <c r="N284" t="s">
        <v>100</v>
      </c>
    </row>
    <row r="285" spans="1:14" ht="12.75">
      <c r="A285" t="str">
        <f>HYPERLINK("http://www.onsemi.com/PowerSolutions/product.do?id=BCP56T1G","BCP56T1G")</f>
        <v>BCP56T1G</v>
      </c>
      <c r="B285" t="str">
        <f t="shared" si="12"/>
        <v>BCP56T1/D (65.0kB)</v>
      </c>
      <c r="C285" t="s">
        <v>19</v>
      </c>
      <c r="D285" t="s">
        <v>70</v>
      </c>
      <c r="E285" t="s">
        <v>197</v>
      </c>
      <c r="F285" t="s">
        <v>31</v>
      </c>
      <c r="G285" t="s">
        <v>111</v>
      </c>
      <c r="H285" t="s">
        <v>41</v>
      </c>
      <c r="I285" t="s">
        <v>58</v>
      </c>
      <c r="K285" t="s">
        <v>176</v>
      </c>
      <c r="L285" t="s">
        <v>50</v>
      </c>
      <c r="M285" t="s">
        <v>28</v>
      </c>
      <c r="N285" t="s">
        <v>251</v>
      </c>
    </row>
    <row r="286" spans="1:14" ht="12.75">
      <c r="A286" t="str">
        <f>HYPERLINK("http://www.onsemi.com/PowerSolutions/product.do?id=BCP56T3","BCP56T3")</f>
        <v>BCP56T3</v>
      </c>
      <c r="B286" t="str">
        <f t="shared" si="12"/>
        <v>BCP56T1/D (65.0kB)</v>
      </c>
      <c r="C286" t="s">
        <v>69</v>
      </c>
      <c r="D286" t="s">
        <v>70</v>
      </c>
      <c r="E286" t="s">
        <v>197</v>
      </c>
      <c r="F286" t="s">
        <v>31</v>
      </c>
      <c r="G286" t="s">
        <v>111</v>
      </c>
      <c r="H286" t="s">
        <v>41</v>
      </c>
      <c r="I286" t="s">
        <v>58</v>
      </c>
      <c r="K286" t="s">
        <v>176</v>
      </c>
      <c r="L286" t="s">
        <v>50</v>
      </c>
      <c r="M286" t="s">
        <v>28</v>
      </c>
      <c r="N286" t="s">
        <v>100</v>
      </c>
    </row>
    <row r="287" spans="1:14" ht="12.75">
      <c r="A287" t="str">
        <f>HYPERLINK("http://www.onsemi.com/PowerSolutions/product.do?id=BCP56T3G","BCP56T3G")</f>
        <v>BCP56T3G</v>
      </c>
      <c r="B287" t="str">
        <f t="shared" si="12"/>
        <v>BCP56T1/D (65.0kB)</v>
      </c>
      <c r="C287" t="s">
        <v>19</v>
      </c>
      <c r="D287" t="s">
        <v>70</v>
      </c>
      <c r="E287" t="s">
        <v>197</v>
      </c>
      <c r="F287" t="s">
        <v>31</v>
      </c>
      <c r="G287" t="s">
        <v>111</v>
      </c>
      <c r="H287" t="s">
        <v>41</v>
      </c>
      <c r="I287" t="s">
        <v>58</v>
      </c>
      <c r="K287" t="s">
        <v>176</v>
      </c>
      <c r="L287" t="s">
        <v>50</v>
      </c>
      <c r="M287" t="s">
        <v>28</v>
      </c>
      <c r="N287" t="s">
        <v>100</v>
      </c>
    </row>
    <row r="288" spans="1:14" ht="12.75">
      <c r="A288" t="str">
        <f>HYPERLINK("http://www.onsemi.com/PowerSolutions/product.do?id=BCP68T1","BCP68T1")</f>
        <v>BCP68T1</v>
      </c>
      <c r="B288" t="str">
        <f>HYPERLINK("http://www.onsemi.com/pub/Collateral/BCP68T1-D.PDF","BCP68T1/D (56.0kB)")</f>
        <v>BCP68T1/D (56.0kB)</v>
      </c>
      <c r="C288" t="s">
        <v>69</v>
      </c>
      <c r="D288" t="s">
        <v>70</v>
      </c>
      <c r="E288" t="s">
        <v>197</v>
      </c>
      <c r="F288" t="s">
        <v>31</v>
      </c>
      <c r="G288" t="s">
        <v>32</v>
      </c>
      <c r="H288" t="s">
        <v>198</v>
      </c>
      <c r="I288" t="s">
        <v>199</v>
      </c>
      <c r="K288" t="s">
        <v>176</v>
      </c>
      <c r="L288" t="s">
        <v>50</v>
      </c>
      <c r="M288" t="s">
        <v>28</v>
      </c>
      <c r="N288" t="s">
        <v>252</v>
      </c>
    </row>
    <row r="289" spans="1:14" ht="12.75">
      <c r="A289" t="str">
        <f>HYPERLINK("http://www.onsemi.com/PowerSolutions/product.do?id=BCP68T1G","BCP68T1G")</f>
        <v>BCP68T1G</v>
      </c>
      <c r="B289" t="str">
        <f>HYPERLINK("http://www.onsemi.com/pub/Collateral/BCP68T1-D.PDF","BCP68T1/D (56.0kB)")</f>
        <v>BCP68T1/D (56.0kB)</v>
      </c>
      <c r="C289" t="s">
        <v>19</v>
      </c>
      <c r="D289" t="s">
        <v>70</v>
      </c>
      <c r="E289" t="s">
        <v>197</v>
      </c>
      <c r="F289" t="s">
        <v>31</v>
      </c>
      <c r="G289" t="s">
        <v>32</v>
      </c>
      <c r="H289" t="s">
        <v>198</v>
      </c>
      <c r="I289" t="s">
        <v>199</v>
      </c>
      <c r="K289" t="s">
        <v>176</v>
      </c>
      <c r="L289" t="s">
        <v>50</v>
      </c>
      <c r="M289" t="s">
        <v>28</v>
      </c>
      <c r="N289" t="s">
        <v>252</v>
      </c>
    </row>
    <row r="290" spans="1:14" ht="12.75">
      <c r="A290" t="str">
        <f>HYPERLINK("http://www.onsemi.com/PowerSolutions/product.do?id=BCP69T1","BCP69T1")</f>
        <v>BCP69T1</v>
      </c>
      <c r="B290" t="str">
        <f>HYPERLINK("http://www.onsemi.com/pub/Collateral/BCP69T1-D.PDF","BCP69T1/D (95.0kB)")</f>
        <v>BCP69T1/D (95.0kB)</v>
      </c>
      <c r="C290" t="s">
        <v>69</v>
      </c>
      <c r="D290" t="s">
        <v>70</v>
      </c>
      <c r="E290" t="s">
        <v>202</v>
      </c>
      <c r="F290" t="s">
        <v>31</v>
      </c>
      <c r="G290" t="s">
        <v>32</v>
      </c>
      <c r="H290" t="s">
        <v>198</v>
      </c>
      <c r="I290" t="s">
        <v>199</v>
      </c>
      <c r="K290" t="s">
        <v>176</v>
      </c>
      <c r="L290" t="s">
        <v>59</v>
      </c>
      <c r="M290" t="s">
        <v>28</v>
      </c>
      <c r="N290" t="s">
        <v>100</v>
      </c>
    </row>
    <row r="291" spans="1:14" ht="12.75">
      <c r="A291" t="str">
        <f>HYPERLINK("http://www.onsemi.com/PowerSolutions/product.do?id=BCP69T1G","BCP69T1G")</f>
        <v>BCP69T1G</v>
      </c>
      <c r="B291" t="str">
        <f>HYPERLINK("http://www.onsemi.com/pub/Collateral/BCP69T1-D.PDF","BCP69T1/D (95.0kB)")</f>
        <v>BCP69T1/D (95.0kB)</v>
      </c>
      <c r="C291" t="s">
        <v>19</v>
      </c>
      <c r="D291" t="s">
        <v>70</v>
      </c>
      <c r="E291" t="s">
        <v>202</v>
      </c>
      <c r="F291" t="s">
        <v>31</v>
      </c>
      <c r="G291" t="s">
        <v>32</v>
      </c>
      <c r="H291" t="s">
        <v>198</v>
      </c>
      <c r="I291" t="s">
        <v>199</v>
      </c>
      <c r="K291" t="s">
        <v>176</v>
      </c>
      <c r="L291" t="s">
        <v>59</v>
      </c>
      <c r="M291" t="s">
        <v>28</v>
      </c>
      <c r="N291" t="s">
        <v>253</v>
      </c>
    </row>
    <row r="292" spans="1:14" ht="12.75">
      <c r="A292" t="str">
        <f>HYPERLINK("http://www.onsemi.com/PowerSolutions/product.do?id=BCW30LT1G","BCW30LT1G")</f>
        <v>BCW30LT1G</v>
      </c>
      <c r="B292" t="str">
        <f>HYPERLINK("http://www.onsemi.com/pub/Collateral/BCW30LT1-D.PDF","BCW30LT1/D (100.0kB)")</f>
        <v>BCW30LT1/D (100.0kB)</v>
      </c>
      <c r="C292" t="s">
        <v>19</v>
      </c>
      <c r="D292" t="s">
        <v>70</v>
      </c>
      <c r="E292" t="s">
        <v>99</v>
      </c>
      <c r="F292" t="s">
        <v>63</v>
      </c>
      <c r="G292" t="s">
        <v>254</v>
      </c>
      <c r="H292" t="s">
        <v>255</v>
      </c>
      <c r="I292" t="s">
        <v>34</v>
      </c>
      <c r="K292" t="s">
        <v>207</v>
      </c>
      <c r="L292" t="s">
        <v>59</v>
      </c>
      <c r="M292" t="s">
        <v>208</v>
      </c>
      <c r="N292" t="s">
        <v>256</v>
      </c>
    </row>
    <row r="293" spans="1:14" ht="12.75">
      <c r="A293" t="str">
        <f>HYPERLINK("http://www.onsemi.com/PowerSolutions/product.do?id=BCW32LT1G","BCW32LT1G")</f>
        <v>BCW32LT1G</v>
      </c>
      <c r="B293" t="str">
        <f>HYPERLINK("http://www.onsemi.com/pub/Collateral/BCW32LT1-D.PDF","BCW32LT1/D (151.0kB)")</f>
        <v>BCW32LT1/D (151.0kB)</v>
      </c>
      <c r="C293" t="s">
        <v>19</v>
      </c>
      <c r="D293" t="s">
        <v>70</v>
      </c>
      <c r="E293" t="s">
        <v>95</v>
      </c>
      <c r="F293" t="s">
        <v>63</v>
      </c>
      <c r="G293" t="s">
        <v>254</v>
      </c>
      <c r="H293" t="s">
        <v>33</v>
      </c>
      <c r="I293" t="s">
        <v>65</v>
      </c>
      <c r="K293" t="s">
        <v>207</v>
      </c>
      <c r="L293" t="s">
        <v>50</v>
      </c>
      <c r="M293" t="s">
        <v>208</v>
      </c>
      <c r="N293" t="s">
        <v>256</v>
      </c>
    </row>
    <row r="294" spans="1:14" ht="12.75">
      <c r="A294" t="str">
        <f>HYPERLINK("http://www.onsemi.com/PowerSolutions/product.do?id=BCW33LT1G","BCW33LT1G")</f>
        <v>BCW33LT1G</v>
      </c>
      <c r="B294" t="str">
        <f>HYPERLINK("http://www.onsemi.com/pub/Collateral/BCW33LT1-D.PDF","BCW33LT1/D (96.0kB)")</f>
        <v>BCW33LT1/D (96.0kB)</v>
      </c>
      <c r="C294" t="s">
        <v>19</v>
      </c>
      <c r="D294" t="s">
        <v>70</v>
      </c>
      <c r="E294" t="s">
        <v>95</v>
      </c>
      <c r="F294" t="s">
        <v>63</v>
      </c>
      <c r="G294" t="s">
        <v>254</v>
      </c>
      <c r="H294" t="s">
        <v>68</v>
      </c>
      <c r="I294" t="s">
        <v>121</v>
      </c>
      <c r="K294" t="s">
        <v>207</v>
      </c>
      <c r="L294" t="s">
        <v>50</v>
      </c>
      <c r="M294" t="s">
        <v>208</v>
      </c>
      <c r="N294" t="s">
        <v>217</v>
      </c>
    </row>
    <row r="295" spans="1:14" ht="12.75">
      <c r="A295" t="str">
        <f>HYPERLINK("http://www.onsemi.com/PowerSolutions/product.do?id=BCW33LT3G","BCW33LT3G")</f>
        <v>BCW33LT3G</v>
      </c>
      <c r="B295" t="str">
        <f>HYPERLINK("http://www.onsemi.com/pub/Collateral/BCW33LT1-D.PDF","BCW33LT1/D (96.0kB)")</f>
        <v>BCW33LT1/D (96.0kB)</v>
      </c>
      <c r="C295" t="s">
        <v>19</v>
      </c>
      <c r="D295" t="s">
        <v>70</v>
      </c>
      <c r="E295" t="s">
        <v>95</v>
      </c>
      <c r="F295" t="s">
        <v>63</v>
      </c>
      <c r="G295" t="s">
        <v>254</v>
      </c>
      <c r="H295" t="s">
        <v>68</v>
      </c>
      <c r="I295" t="s">
        <v>121</v>
      </c>
      <c r="K295" t="s">
        <v>207</v>
      </c>
      <c r="L295" t="s">
        <v>50</v>
      </c>
      <c r="M295" t="s">
        <v>208</v>
      </c>
      <c r="N295" t="s">
        <v>217</v>
      </c>
    </row>
    <row r="296" spans="1:14" ht="12.75">
      <c r="A296" t="str">
        <f>HYPERLINK("http://www.onsemi.com/PowerSolutions/product.do?id=BCW65ALT1G","BCW65ALT1G")</f>
        <v>BCW65ALT1G</v>
      </c>
      <c r="B296" t="str">
        <f>HYPERLINK("http://www.onsemi.com/pub/Collateral/BCW65ALT1-D.PDF","BCW65ALT1/D (45.0kB)")</f>
        <v>BCW65ALT1/D (45.0kB)</v>
      </c>
      <c r="C296" t="s">
        <v>19</v>
      </c>
      <c r="D296" t="s">
        <v>70</v>
      </c>
      <c r="E296" t="s">
        <v>95</v>
      </c>
      <c r="F296" t="s">
        <v>195</v>
      </c>
      <c r="G296" t="s">
        <v>254</v>
      </c>
      <c r="H296" t="s">
        <v>23</v>
      </c>
      <c r="I296" t="s">
        <v>58</v>
      </c>
      <c r="J296" t="s">
        <v>23</v>
      </c>
      <c r="K296" t="s">
        <v>207</v>
      </c>
      <c r="L296" t="s">
        <v>50</v>
      </c>
      <c r="M296" t="s">
        <v>208</v>
      </c>
      <c r="N296" t="s">
        <v>257</v>
      </c>
    </row>
    <row r="297" spans="1:14" ht="12.75">
      <c r="A297" t="str">
        <f>HYPERLINK("http://www.onsemi.com/PowerSolutions/product.do?id=BCW65CLT1G","BCW65CLT1G")</f>
        <v>BCW65CLT1G</v>
      </c>
      <c r="B297" t="str">
        <f>HYPERLINK("http://www.onsemi.com/pub/Collateral/BCW65ALT1-D.PDF","BCW65ALT1/D (45.0kB)")</f>
        <v>BCW65ALT1/D (45.0kB)</v>
      </c>
      <c r="C297" t="s">
        <v>19</v>
      </c>
      <c r="D297" t="s">
        <v>70</v>
      </c>
      <c r="E297" t="s">
        <v>95</v>
      </c>
      <c r="F297" t="s">
        <v>195</v>
      </c>
      <c r="G297" t="s">
        <v>254</v>
      </c>
      <c r="H297" t="s">
        <v>58</v>
      </c>
      <c r="I297" t="s">
        <v>196</v>
      </c>
      <c r="J297" t="s">
        <v>23</v>
      </c>
      <c r="K297" t="s">
        <v>207</v>
      </c>
      <c r="L297" t="s">
        <v>50</v>
      </c>
      <c r="M297" t="s">
        <v>208</v>
      </c>
      <c r="N297" t="s">
        <v>258</v>
      </c>
    </row>
    <row r="298" spans="1:14" ht="12.75">
      <c r="A298" t="str">
        <f>HYPERLINK("http://www.onsemi.com/PowerSolutions/product.do?id=BCW66GLT1G","BCW66GLT1G")</f>
        <v>BCW66GLT1G</v>
      </c>
      <c r="B298" t="str">
        <f>HYPERLINK("http://www.onsemi.com/pub/Collateral/BCW66GLT1-D.PDF","BCW66GLT1/D (48.0kB)")</f>
        <v>BCW66GLT1/D (48.0kB)</v>
      </c>
      <c r="C298" t="s">
        <v>19</v>
      </c>
      <c r="D298" t="s">
        <v>70</v>
      </c>
      <c r="E298" t="s">
        <v>95</v>
      </c>
      <c r="F298" t="s">
        <v>195</v>
      </c>
      <c r="G298" t="s">
        <v>64</v>
      </c>
      <c r="H298" t="s">
        <v>138</v>
      </c>
      <c r="I298" t="s">
        <v>125</v>
      </c>
      <c r="J298" t="s">
        <v>23</v>
      </c>
      <c r="L298" t="s">
        <v>50</v>
      </c>
      <c r="M298" t="s">
        <v>208</v>
      </c>
      <c r="N298" t="s">
        <v>259</v>
      </c>
    </row>
    <row r="299" spans="1:14" ht="12.75">
      <c r="A299" t="str">
        <f>HYPERLINK("http://www.onsemi.com/PowerSolutions/product.do?id=BCW68GLT1G","BCW68GLT1G")</f>
        <v>BCW68GLT1G</v>
      </c>
      <c r="B299" t="str">
        <f>HYPERLINK("http://www.onsemi.com/pub/Collateral/BCW68GLT1-D.PDF","BCW68GLT1/D (44.0kB)")</f>
        <v>BCW68GLT1/D (44.0kB)</v>
      </c>
      <c r="C299" t="s">
        <v>19</v>
      </c>
      <c r="D299" t="s">
        <v>70</v>
      </c>
      <c r="E299" t="s">
        <v>99</v>
      </c>
      <c r="F299" t="s">
        <v>195</v>
      </c>
      <c r="G299" t="s">
        <v>64</v>
      </c>
      <c r="H299" t="s">
        <v>138</v>
      </c>
      <c r="I299" t="s">
        <v>125</v>
      </c>
      <c r="J299" t="s">
        <v>23</v>
      </c>
      <c r="K299" t="s">
        <v>207</v>
      </c>
      <c r="L299" t="s">
        <v>59</v>
      </c>
      <c r="M299" t="s">
        <v>208</v>
      </c>
      <c r="N299" t="s">
        <v>259</v>
      </c>
    </row>
    <row r="300" spans="1:14" ht="12.75">
      <c r="A300" t="str">
        <f>HYPERLINK("http://www.onsemi.com/PowerSolutions/product.do?id=BCW70LT1G","BCW70LT1G")</f>
        <v>BCW70LT1G</v>
      </c>
      <c r="B300" t="str">
        <f>HYPERLINK("http://www.onsemi.com/pub/Collateral/BCW70LT1-D.PDF","BCW70LT1/D (89.0kB)")</f>
        <v>BCW70LT1/D (89.0kB)</v>
      </c>
      <c r="C300" t="s">
        <v>19</v>
      </c>
      <c r="D300" t="s">
        <v>70</v>
      </c>
      <c r="E300" t="s">
        <v>99</v>
      </c>
      <c r="F300" t="s">
        <v>63</v>
      </c>
      <c r="G300" t="s">
        <v>64</v>
      </c>
      <c r="H300" t="s">
        <v>255</v>
      </c>
      <c r="I300" t="s">
        <v>34</v>
      </c>
      <c r="K300" t="s">
        <v>207</v>
      </c>
      <c r="L300" t="s">
        <v>59</v>
      </c>
      <c r="M300" t="s">
        <v>208</v>
      </c>
      <c r="N300" t="s">
        <v>260</v>
      </c>
    </row>
    <row r="301" spans="1:14" ht="12.75">
      <c r="A301" t="str">
        <f>HYPERLINK("http://www.onsemi.com/PowerSolutions/product.do?id=BCW72LT1G","BCW72LT1G")</f>
        <v>BCW72LT1G</v>
      </c>
      <c r="B301" t="str">
        <f>HYPERLINK("http://www.onsemi.com/pub/Collateral/BCW72LT1-D.PDF","BCW72LT1/D (106.0kB)")</f>
        <v>BCW72LT1/D (106.0kB)</v>
      </c>
      <c r="C301" t="s">
        <v>19</v>
      </c>
      <c r="D301" t="s">
        <v>70</v>
      </c>
      <c r="E301" t="s">
        <v>95</v>
      </c>
      <c r="F301" t="s">
        <v>63</v>
      </c>
      <c r="G301" t="s">
        <v>64</v>
      </c>
      <c r="H301" t="s">
        <v>33</v>
      </c>
      <c r="I301" t="s">
        <v>65</v>
      </c>
      <c r="K301" t="s">
        <v>207</v>
      </c>
      <c r="L301" t="s">
        <v>50</v>
      </c>
      <c r="M301" t="s">
        <v>208</v>
      </c>
      <c r="N301" t="s">
        <v>259</v>
      </c>
    </row>
    <row r="302" spans="1:14" ht="12.75">
      <c r="A302" t="str">
        <f>HYPERLINK("http://www.onsemi.com/PowerSolutions/product.do?id=BCX17LT1G","BCX17LT1G")</f>
        <v>BCX17LT1G</v>
      </c>
      <c r="B302" t="str">
        <f>HYPERLINK("http://www.onsemi.com/pub/Collateral/BCX17LT1-D.PDF","BCX17LT1/D (58.0kB)")</f>
        <v>BCX17LT1/D (58.0kB)</v>
      </c>
      <c r="C302" t="s">
        <v>19</v>
      </c>
      <c r="D302" t="s">
        <v>70</v>
      </c>
      <c r="E302" t="s">
        <v>99</v>
      </c>
      <c r="F302" t="s">
        <v>135</v>
      </c>
      <c r="G302" t="s">
        <v>64</v>
      </c>
      <c r="H302" t="s">
        <v>23</v>
      </c>
      <c r="I302" t="s">
        <v>211</v>
      </c>
      <c r="K302" t="s">
        <v>207</v>
      </c>
      <c r="L302" t="s">
        <v>59</v>
      </c>
      <c r="M302" t="s">
        <v>208</v>
      </c>
      <c r="N302" t="s">
        <v>259</v>
      </c>
    </row>
    <row r="303" spans="1:14" ht="12.75">
      <c r="A303" t="str">
        <f>HYPERLINK("http://www.onsemi.com/PowerSolutions/product.do?id=BCX19LT1G","BCX19LT1G")</f>
        <v>BCX19LT1G</v>
      </c>
      <c r="B303" t="str">
        <f>HYPERLINK("http://www.onsemi.com/pub/Collateral/BCX17LT1-D.PDF","BCX17LT1/D (58.0kB)")</f>
        <v>BCX17LT1/D (58.0kB)</v>
      </c>
      <c r="C303" t="s">
        <v>19</v>
      </c>
      <c r="D303" t="s">
        <v>70</v>
      </c>
      <c r="E303" t="s">
        <v>95</v>
      </c>
      <c r="F303" t="s">
        <v>135</v>
      </c>
      <c r="G303" t="s">
        <v>64</v>
      </c>
      <c r="H303" t="s">
        <v>23</v>
      </c>
      <c r="I303" t="s">
        <v>211</v>
      </c>
      <c r="K303" t="s">
        <v>207</v>
      </c>
      <c r="L303" t="s">
        <v>50</v>
      </c>
      <c r="M303" t="s">
        <v>208</v>
      </c>
      <c r="N303" t="s">
        <v>259</v>
      </c>
    </row>
    <row r="304" spans="1:14" ht="12.75">
      <c r="A304" t="str">
        <f>HYPERLINK("http://www.onsemi.com/PowerSolutions/product.do?id=BCX71JLT1G","BCX71JLT1G")</f>
        <v>BCX71JLT1G</v>
      </c>
      <c r="B304" t="str">
        <f>HYPERLINK("http://www.onsemi.com/pub/Collateral/BCX71J-D.PDF","BCX71J/D (98.0kB)")</f>
        <v>BCX71J/D (98.0kB)</v>
      </c>
      <c r="C304" t="s">
        <v>19</v>
      </c>
      <c r="D304" t="s">
        <v>70</v>
      </c>
      <c r="E304" t="s">
        <v>99</v>
      </c>
      <c r="F304" t="s">
        <v>63</v>
      </c>
      <c r="G304" t="s">
        <v>64</v>
      </c>
      <c r="H304" t="s">
        <v>58</v>
      </c>
      <c r="I304" t="s">
        <v>193</v>
      </c>
      <c r="K304" t="s">
        <v>194</v>
      </c>
      <c r="L304" t="s">
        <v>59</v>
      </c>
      <c r="M304" t="s">
        <v>208</v>
      </c>
      <c r="N304" t="s">
        <v>261</v>
      </c>
    </row>
    <row r="305" spans="1:14" ht="12.75">
      <c r="A305" t="str">
        <f>HYPERLINK("http://www.onsemi.com/PowerSolutions/product.do?id=BD135G","BD135G")</f>
        <v>BD135G</v>
      </c>
      <c r="B305" t="str">
        <f>HYPERLINK("http://www.onsemi.com/pub/Collateral/BD135-D.PDF","BD135/D (37.0kB)")</f>
        <v>BD135/D (37.0kB)</v>
      </c>
      <c r="C305" t="s">
        <v>19</v>
      </c>
      <c r="D305" t="s">
        <v>70</v>
      </c>
      <c r="E305" t="s">
        <v>262</v>
      </c>
      <c r="F305" t="s">
        <v>176</v>
      </c>
      <c r="G305" t="s">
        <v>64</v>
      </c>
      <c r="H305" t="s">
        <v>41</v>
      </c>
      <c r="I305" t="s">
        <v>58</v>
      </c>
      <c r="K305" t="s">
        <v>263</v>
      </c>
      <c r="L305" t="s">
        <v>50</v>
      </c>
      <c r="M305" t="s">
        <v>106</v>
      </c>
      <c r="N305" t="s">
        <v>264</v>
      </c>
    </row>
    <row r="306" spans="1:14" ht="12.75">
      <c r="A306" t="str">
        <f>HYPERLINK("http://www.onsemi.com/PowerSolutions/product.do?id=BD136G","BD136G")</f>
        <v>BD136G</v>
      </c>
      <c r="B306" t="str">
        <f>HYPERLINK("http://www.onsemi.com/pub/Collateral/BD136-D.PDF","BD136/D (37.0kB)")</f>
        <v>BD136/D (37.0kB)</v>
      </c>
      <c r="C306" t="s">
        <v>19</v>
      </c>
      <c r="D306" t="s">
        <v>70</v>
      </c>
      <c r="E306" t="s">
        <v>265</v>
      </c>
      <c r="F306" t="s">
        <v>176</v>
      </c>
      <c r="G306" t="s">
        <v>64</v>
      </c>
      <c r="H306" t="s">
        <v>41</v>
      </c>
      <c r="I306" t="s">
        <v>58</v>
      </c>
      <c r="K306" t="s">
        <v>263</v>
      </c>
      <c r="L306" t="s">
        <v>59</v>
      </c>
      <c r="M306" t="s">
        <v>106</v>
      </c>
      <c r="N306" t="s">
        <v>266</v>
      </c>
    </row>
    <row r="307" spans="1:14" ht="12.75">
      <c r="A307" t="str">
        <f>HYPERLINK("http://www.onsemi.com/PowerSolutions/product.do?id=BD137G","BD137G")</f>
        <v>BD137G</v>
      </c>
      <c r="B307" t="str">
        <f>HYPERLINK("http://www.onsemi.com/pub/Collateral/BD135-D.PDF","BD135/D (37.0kB)")</f>
        <v>BD135/D (37.0kB)</v>
      </c>
      <c r="C307" t="s">
        <v>19</v>
      </c>
      <c r="D307" t="s">
        <v>70</v>
      </c>
      <c r="E307" t="s">
        <v>267</v>
      </c>
      <c r="F307" t="s">
        <v>176</v>
      </c>
      <c r="G307" t="s">
        <v>73</v>
      </c>
      <c r="H307" t="s">
        <v>41</v>
      </c>
      <c r="I307" t="s">
        <v>58</v>
      </c>
      <c r="K307" t="s">
        <v>263</v>
      </c>
      <c r="L307" t="s">
        <v>50</v>
      </c>
      <c r="M307" t="s">
        <v>106</v>
      </c>
      <c r="N307" t="s">
        <v>264</v>
      </c>
    </row>
    <row r="308" spans="1:14" ht="12.75">
      <c r="A308" t="str">
        <f>HYPERLINK("http://www.onsemi.com/PowerSolutions/product.do?id=BD138G","BD138G")</f>
        <v>BD138G</v>
      </c>
      <c r="B308" t="str">
        <f>HYPERLINK("http://www.onsemi.com/pub/Collateral/BD136-D.PDF","BD136/D (37.0kB)")</f>
        <v>BD136/D (37.0kB)</v>
      </c>
      <c r="C308" t="s">
        <v>19</v>
      </c>
      <c r="D308" t="s">
        <v>70</v>
      </c>
      <c r="E308" t="s">
        <v>268</v>
      </c>
      <c r="F308" t="s">
        <v>176</v>
      </c>
      <c r="G308" t="s">
        <v>73</v>
      </c>
      <c r="H308" t="s">
        <v>41</v>
      </c>
      <c r="I308" t="s">
        <v>58</v>
      </c>
      <c r="K308" t="s">
        <v>263</v>
      </c>
      <c r="L308" t="s">
        <v>59</v>
      </c>
      <c r="M308" t="s">
        <v>106</v>
      </c>
      <c r="N308" t="s">
        <v>266</v>
      </c>
    </row>
    <row r="309" spans="1:14" ht="12.75">
      <c r="A309" t="str">
        <f>HYPERLINK("http://www.onsemi.com/PowerSolutions/product.do?id=BD139G","BD139G")</f>
        <v>BD139G</v>
      </c>
      <c r="B309" t="str">
        <f>HYPERLINK("http://www.onsemi.com/pub/Collateral/BD135-D.PDF","BD135/D (37.0kB)")</f>
        <v>BD135/D (37.0kB)</v>
      </c>
      <c r="C309" t="s">
        <v>19</v>
      </c>
      <c r="D309" t="s">
        <v>70</v>
      </c>
      <c r="E309" t="s">
        <v>269</v>
      </c>
      <c r="F309" t="s">
        <v>176</v>
      </c>
      <c r="G309" t="s">
        <v>111</v>
      </c>
      <c r="H309" t="s">
        <v>41</v>
      </c>
      <c r="I309" t="s">
        <v>58</v>
      </c>
      <c r="K309" t="s">
        <v>263</v>
      </c>
      <c r="L309" t="s">
        <v>50</v>
      </c>
      <c r="M309" t="s">
        <v>106</v>
      </c>
      <c r="N309" t="s">
        <v>264</v>
      </c>
    </row>
    <row r="310" spans="1:14" ht="12.75">
      <c r="A310" t="str">
        <f>HYPERLINK("http://www.onsemi.com/PowerSolutions/product.do?id=BD140G","BD140G")</f>
        <v>BD140G</v>
      </c>
      <c r="B310" t="str">
        <f>HYPERLINK("http://www.onsemi.com/pub/Collateral/BD136-D.PDF","BD136/D (37.0kB)")</f>
        <v>BD136/D (37.0kB)</v>
      </c>
      <c r="C310" t="s">
        <v>19</v>
      </c>
      <c r="D310" t="s">
        <v>70</v>
      </c>
      <c r="E310" t="s">
        <v>270</v>
      </c>
      <c r="F310" t="s">
        <v>176</v>
      </c>
      <c r="G310" t="s">
        <v>111</v>
      </c>
      <c r="H310" t="s">
        <v>41</v>
      </c>
      <c r="I310" t="s">
        <v>58</v>
      </c>
      <c r="K310" t="s">
        <v>263</v>
      </c>
      <c r="L310" t="s">
        <v>59</v>
      </c>
      <c r="M310" t="s">
        <v>106</v>
      </c>
      <c r="N310" t="s">
        <v>266</v>
      </c>
    </row>
    <row r="311" spans="1:14" ht="12.75">
      <c r="A311" t="str">
        <f>HYPERLINK("http://www.onsemi.com/PowerSolutions/product.do?id=BD159G","BD159G")</f>
        <v>BD159G</v>
      </c>
      <c r="B311" t="str">
        <f>HYPERLINK("http://www.onsemi.com/pub/Collateral/BD159-D.PDF","BD159/D (56.0kB)")</f>
        <v>BD159/D (56.0kB)</v>
      </c>
      <c r="C311" t="s">
        <v>19</v>
      </c>
      <c r="D311" t="s">
        <v>70</v>
      </c>
      <c r="E311" t="s">
        <v>271</v>
      </c>
      <c r="F311" t="s">
        <v>135</v>
      </c>
      <c r="G311" t="s">
        <v>35</v>
      </c>
      <c r="H311" t="s">
        <v>86</v>
      </c>
      <c r="I311" t="s">
        <v>136</v>
      </c>
      <c r="K311" t="s">
        <v>32</v>
      </c>
      <c r="L311" t="s">
        <v>50</v>
      </c>
      <c r="M311" t="s">
        <v>106</v>
      </c>
      <c r="N311" t="s">
        <v>140</v>
      </c>
    </row>
    <row r="312" spans="1:14" ht="12.75">
      <c r="A312" t="str">
        <f>HYPERLINK("http://www.onsemi.com/PowerSolutions/product.do?id=BD179G","BD179G")</f>
        <v>BD179G</v>
      </c>
      <c r="B312" t="str">
        <f>HYPERLINK("http://www.onsemi.com/pub/Collateral/BD179-D.PDF","BD179/D (80.0kB)")</f>
        <v>BD179/D (80.0kB)</v>
      </c>
      <c r="C312" t="s">
        <v>19</v>
      </c>
      <c r="D312" t="s">
        <v>70</v>
      </c>
      <c r="E312" t="s">
        <v>115</v>
      </c>
      <c r="F312" t="s">
        <v>22</v>
      </c>
      <c r="G312" t="s">
        <v>111</v>
      </c>
      <c r="H312" t="s">
        <v>245</v>
      </c>
      <c r="I312" t="s">
        <v>138</v>
      </c>
      <c r="J312" t="s">
        <v>22</v>
      </c>
      <c r="K312" t="s">
        <v>86</v>
      </c>
      <c r="L312" t="s">
        <v>50</v>
      </c>
      <c r="M312" t="s">
        <v>106</v>
      </c>
      <c r="N312" t="s">
        <v>113</v>
      </c>
    </row>
    <row r="313" spans="1:14" ht="12.75">
      <c r="A313" t="str">
        <f>HYPERLINK("http://www.onsemi.com/PowerSolutions/product.do?id=BD180G","BD180G")</f>
        <v>BD180G</v>
      </c>
      <c r="B313" t="str">
        <f>HYPERLINK("http://www.onsemi.com/pub/Collateral/BD180-D.PDF","BD180/D (62.0kB)")</f>
        <v>BD180/D (62.0kB)</v>
      </c>
      <c r="C313" t="s">
        <v>19</v>
      </c>
      <c r="D313" t="s">
        <v>70</v>
      </c>
      <c r="E313" t="s">
        <v>110</v>
      </c>
      <c r="F313" t="s">
        <v>22</v>
      </c>
      <c r="G313" t="s">
        <v>111</v>
      </c>
      <c r="H313" t="s">
        <v>41</v>
      </c>
      <c r="I313" t="s">
        <v>58</v>
      </c>
      <c r="J313" t="s">
        <v>22</v>
      </c>
      <c r="K313" t="s">
        <v>86</v>
      </c>
      <c r="L313" t="s">
        <v>59</v>
      </c>
      <c r="M313" t="s">
        <v>106</v>
      </c>
      <c r="N313" t="s">
        <v>109</v>
      </c>
    </row>
    <row r="314" spans="1:14" ht="12.75">
      <c r="A314" t="str">
        <f>HYPERLINK("http://www.onsemi.com/PowerSolutions/product.do?id=BD234G","BD234G")</f>
        <v>BD234G</v>
      </c>
      <c r="B314" t="str">
        <f>HYPERLINK("http://www.onsemi.com/pub/Collateral/BD237-D.PDF","BD237/D (63.0kB)")</f>
        <v>BD237/D (63.0kB)</v>
      </c>
      <c r="C314" t="s">
        <v>19</v>
      </c>
      <c r="D314" t="s">
        <v>70</v>
      </c>
      <c r="E314" t="s">
        <v>272</v>
      </c>
      <c r="F314" t="s">
        <v>26</v>
      </c>
      <c r="G314" t="s">
        <v>64</v>
      </c>
      <c r="H314" t="s">
        <v>41</v>
      </c>
      <c r="J314" t="s">
        <v>22</v>
      </c>
      <c r="K314" t="s">
        <v>102</v>
      </c>
      <c r="L314" t="s">
        <v>59</v>
      </c>
      <c r="M314" t="s">
        <v>106</v>
      </c>
      <c r="N314" t="s">
        <v>109</v>
      </c>
    </row>
    <row r="315" spans="1:14" ht="12.75">
      <c r="A315" t="str">
        <f>HYPERLINK("http://www.onsemi.com/PowerSolutions/product.do?id=BD237G","BD237G")</f>
        <v>BD237G</v>
      </c>
      <c r="B315" t="str">
        <f>HYPERLINK("http://www.onsemi.com/pub/Collateral/BD237-D.PDF","BD237/D (63.0kB)")</f>
        <v>BD237/D (63.0kB)</v>
      </c>
      <c r="C315" t="s">
        <v>19</v>
      </c>
      <c r="D315" t="s">
        <v>70</v>
      </c>
      <c r="E315" t="s">
        <v>273</v>
      </c>
      <c r="F315" t="s">
        <v>26</v>
      </c>
      <c r="G315" t="s">
        <v>111</v>
      </c>
      <c r="H315" t="s">
        <v>41</v>
      </c>
      <c r="J315" t="s">
        <v>22</v>
      </c>
      <c r="K315" t="s">
        <v>102</v>
      </c>
      <c r="L315" t="s">
        <v>50</v>
      </c>
      <c r="M315" t="s">
        <v>106</v>
      </c>
      <c r="N315" t="s">
        <v>113</v>
      </c>
    </row>
    <row r="316" spans="1:14" ht="12.75">
      <c r="A316" t="str">
        <f>HYPERLINK("http://www.onsemi.com/PowerSolutions/product.do?id=BD241CG","BD241CG")</f>
        <v>BD241CG</v>
      </c>
      <c r="B316" t="str">
        <f>HYPERLINK("http://www.onsemi.com/pub/Collateral/BD241C-D.PDF","BD241C/D (93.0kB)")</f>
        <v>BD241C/D (93.0kB)</v>
      </c>
      <c r="C316" t="s">
        <v>19</v>
      </c>
      <c r="D316" t="s">
        <v>70</v>
      </c>
      <c r="E316" t="s">
        <v>274</v>
      </c>
      <c r="F316" t="s">
        <v>22</v>
      </c>
      <c r="G316" t="s">
        <v>23</v>
      </c>
      <c r="H316" t="s">
        <v>102</v>
      </c>
      <c r="J316" t="s">
        <v>22</v>
      </c>
      <c r="K316" t="s">
        <v>41</v>
      </c>
      <c r="L316" t="s">
        <v>50</v>
      </c>
      <c r="M316" t="s">
        <v>153</v>
      </c>
      <c r="N316" t="s">
        <v>275</v>
      </c>
    </row>
    <row r="317" spans="1:14" ht="12.75">
      <c r="A317" t="str">
        <f>HYPERLINK("http://www.onsemi.com/PowerSolutions/product.do?id=BD242BG","BD242BG")</f>
        <v>BD242BG</v>
      </c>
      <c r="B317" t="str">
        <f>HYPERLINK("http://www.onsemi.com/pub/Collateral/BD241C-D.PDF","BD241C/D (93.0kB)")</f>
        <v>BD241C/D (93.0kB)</v>
      </c>
      <c r="C317" t="s">
        <v>19</v>
      </c>
      <c r="D317" t="s">
        <v>70</v>
      </c>
      <c r="E317" t="s">
        <v>110</v>
      </c>
      <c r="F317" t="s">
        <v>22</v>
      </c>
      <c r="G317" t="s">
        <v>111</v>
      </c>
      <c r="H317" t="s">
        <v>102</v>
      </c>
      <c r="J317" t="s">
        <v>22</v>
      </c>
      <c r="K317" t="s">
        <v>41</v>
      </c>
      <c r="L317" t="s">
        <v>59</v>
      </c>
      <c r="M317" t="s">
        <v>153</v>
      </c>
      <c r="N317" t="s">
        <v>109</v>
      </c>
    </row>
    <row r="318" spans="1:14" ht="12.75">
      <c r="A318" t="str">
        <f>HYPERLINK("http://www.onsemi.com/PowerSolutions/product.do?id=BD242CG","BD242CG")</f>
        <v>BD242CG</v>
      </c>
      <c r="B318" t="str">
        <f>HYPERLINK("http://www.onsemi.com/pub/Collateral/BD241C-D.PDF","BD241C/D (93.0kB)")</f>
        <v>BD241C/D (93.0kB)</v>
      </c>
      <c r="C318" t="s">
        <v>19</v>
      </c>
      <c r="D318" t="s">
        <v>70</v>
      </c>
      <c r="E318" t="s">
        <v>276</v>
      </c>
      <c r="F318" t="s">
        <v>22</v>
      </c>
      <c r="G318" t="s">
        <v>23</v>
      </c>
      <c r="H318" t="s">
        <v>102</v>
      </c>
      <c r="J318" t="s">
        <v>22</v>
      </c>
      <c r="K318" t="s">
        <v>41</v>
      </c>
      <c r="L318" t="s">
        <v>59</v>
      </c>
      <c r="M318" t="s">
        <v>153</v>
      </c>
      <c r="N318" t="s">
        <v>109</v>
      </c>
    </row>
    <row r="319" spans="1:14" ht="12.75">
      <c r="A319" t="str">
        <f>HYPERLINK("http://www.onsemi.com/PowerSolutions/product.do?id=BD243CG","BD243CG")</f>
        <v>BD243CG</v>
      </c>
      <c r="B319" t="str">
        <f>HYPERLINK("http://www.onsemi.com/pub/Collateral/BD243B-D.PDF","BD243B/D (91.0kB)")</f>
        <v>BD243B/D (91.0kB)</v>
      </c>
      <c r="C319" t="s">
        <v>19</v>
      </c>
      <c r="D319" t="s">
        <v>70</v>
      </c>
      <c r="E319" t="s">
        <v>277</v>
      </c>
      <c r="F319" t="s">
        <v>40</v>
      </c>
      <c r="G319" t="s">
        <v>23</v>
      </c>
      <c r="H319" t="s">
        <v>86</v>
      </c>
      <c r="J319" t="s">
        <v>22</v>
      </c>
      <c r="K319" t="s">
        <v>200</v>
      </c>
      <c r="L319" t="s">
        <v>50</v>
      </c>
      <c r="M319" t="s">
        <v>153</v>
      </c>
      <c r="N319" t="s">
        <v>278</v>
      </c>
    </row>
    <row r="320" spans="1:14" ht="12.75">
      <c r="A320" t="str">
        <f>HYPERLINK("http://www.onsemi.com/PowerSolutions/product.do?id=BD244BG","BD244BG")</f>
        <v>BD244BG</v>
      </c>
      <c r="B320" t="str">
        <f>HYPERLINK("http://www.onsemi.com/pub/Collateral/BD243B-D.PDF","BD243B/D (91.0kB)")</f>
        <v>BD243B/D (91.0kB)</v>
      </c>
      <c r="C320" t="s">
        <v>19</v>
      </c>
      <c r="D320" t="s">
        <v>70</v>
      </c>
      <c r="E320" t="s">
        <v>279</v>
      </c>
      <c r="F320" t="s">
        <v>40</v>
      </c>
      <c r="G320" t="s">
        <v>111</v>
      </c>
      <c r="H320" t="s">
        <v>86</v>
      </c>
      <c r="J320" t="s">
        <v>22</v>
      </c>
      <c r="K320" t="s">
        <v>200</v>
      </c>
      <c r="L320" t="s">
        <v>59</v>
      </c>
      <c r="M320" t="s">
        <v>153</v>
      </c>
      <c r="N320" t="s">
        <v>154</v>
      </c>
    </row>
    <row r="321" spans="1:14" ht="12.75">
      <c r="A321" t="str">
        <f>HYPERLINK("http://www.onsemi.com/PowerSolutions/product.do?id=BD244CG","BD244CG")</f>
        <v>BD244CG</v>
      </c>
      <c r="B321" t="str">
        <f>HYPERLINK("http://www.onsemi.com/pub/Collateral/BD243B-D.PDF","BD243B/D (91.0kB)")</f>
        <v>BD243B/D (91.0kB)</v>
      </c>
      <c r="C321" t="s">
        <v>19</v>
      </c>
      <c r="D321" t="s">
        <v>70</v>
      </c>
      <c r="E321" t="s">
        <v>280</v>
      </c>
      <c r="F321" t="s">
        <v>40</v>
      </c>
      <c r="G321" t="s">
        <v>23</v>
      </c>
      <c r="H321" t="s">
        <v>86</v>
      </c>
      <c r="J321" t="s">
        <v>22</v>
      </c>
      <c r="K321" t="s">
        <v>200</v>
      </c>
      <c r="L321" t="s">
        <v>59</v>
      </c>
      <c r="M321" t="s">
        <v>153</v>
      </c>
      <c r="N321" t="s">
        <v>154</v>
      </c>
    </row>
    <row r="322" spans="1:14" ht="12.75">
      <c r="A322" t="str">
        <f>HYPERLINK("http://www.onsemi.com/PowerSolutions/product.do?id=BD435G","BD435G")</f>
        <v>BD435G</v>
      </c>
      <c r="B322" t="str">
        <f>HYPERLINK("http://www.onsemi.com/pub/Collateral/BD437-D.PDF","BD437/D (59.0kB)")</f>
        <v>BD437/D (59.0kB)</v>
      </c>
      <c r="C322" t="s">
        <v>19</v>
      </c>
      <c r="D322" t="s">
        <v>70</v>
      </c>
      <c r="E322" t="s">
        <v>281</v>
      </c>
      <c r="F322" t="s">
        <v>94</v>
      </c>
      <c r="G322" t="s">
        <v>254</v>
      </c>
      <c r="H322" t="s">
        <v>198</v>
      </c>
      <c r="I322" t="s">
        <v>67</v>
      </c>
      <c r="J322" t="s">
        <v>22</v>
      </c>
      <c r="K322" t="s">
        <v>282</v>
      </c>
      <c r="L322" t="s">
        <v>50</v>
      </c>
      <c r="M322" t="s">
        <v>106</v>
      </c>
      <c r="N322" t="s">
        <v>283</v>
      </c>
    </row>
    <row r="323" spans="1:14" ht="12.75">
      <c r="A323" t="str">
        <f>HYPERLINK("http://www.onsemi.com/PowerSolutions/product.do?id=BD436TG","BD436TG")</f>
        <v>BD436TG</v>
      </c>
      <c r="B323" t="str">
        <f>HYPERLINK("http://www.onsemi.com/pub/Collateral/BD438-D.PDF","BD438/D (58.0kB)")</f>
        <v>BD438/D (58.0kB)</v>
      </c>
      <c r="C323" t="s">
        <v>19</v>
      </c>
      <c r="D323" t="s">
        <v>70</v>
      </c>
      <c r="E323" t="s">
        <v>284</v>
      </c>
      <c r="F323" t="s">
        <v>94</v>
      </c>
      <c r="G323" t="s">
        <v>254</v>
      </c>
      <c r="H323" t="s">
        <v>198</v>
      </c>
      <c r="I323" t="s">
        <v>67</v>
      </c>
      <c r="J323" t="s">
        <v>22</v>
      </c>
      <c r="K323" t="s">
        <v>282</v>
      </c>
      <c r="L323" t="s">
        <v>59</v>
      </c>
      <c r="M323" t="s">
        <v>106</v>
      </c>
      <c r="N323" t="s">
        <v>285</v>
      </c>
    </row>
    <row r="324" spans="1:14" ht="12.75">
      <c r="A324" t="str">
        <f>HYPERLINK("http://www.onsemi.com/PowerSolutions/product.do?id=BD437G","BD437G")</f>
        <v>BD437G</v>
      </c>
      <c r="B324" t="str">
        <f>HYPERLINK("http://www.onsemi.com/pub/Collateral/BD437-D.PDF","BD437/D (59.0kB)")</f>
        <v>BD437/D (59.0kB)</v>
      </c>
      <c r="C324" t="s">
        <v>19</v>
      </c>
      <c r="D324" t="s">
        <v>70</v>
      </c>
      <c r="E324" t="s">
        <v>286</v>
      </c>
      <c r="F324" t="s">
        <v>94</v>
      </c>
      <c r="G324" t="s">
        <v>64</v>
      </c>
      <c r="H324" t="s">
        <v>198</v>
      </c>
      <c r="I324" t="s">
        <v>199</v>
      </c>
      <c r="J324" t="s">
        <v>22</v>
      </c>
      <c r="K324" t="s">
        <v>282</v>
      </c>
      <c r="L324" t="s">
        <v>50</v>
      </c>
      <c r="M324" t="s">
        <v>106</v>
      </c>
      <c r="N324" t="s">
        <v>283</v>
      </c>
    </row>
    <row r="325" spans="1:14" ht="12.75">
      <c r="A325" t="str">
        <f>HYPERLINK("http://www.onsemi.com/PowerSolutions/product.do?id=BD437TG","BD437TG")</f>
        <v>BD437TG</v>
      </c>
      <c r="B325" t="str">
        <f>HYPERLINK("http://www.onsemi.com/pub/Collateral/BD437-D.PDF","BD437/D (59.0kB)")</f>
        <v>BD437/D (59.0kB)</v>
      </c>
      <c r="C325" t="s">
        <v>19</v>
      </c>
      <c r="D325" t="s">
        <v>70</v>
      </c>
      <c r="E325" t="s">
        <v>286</v>
      </c>
      <c r="F325" t="s">
        <v>94</v>
      </c>
      <c r="G325" t="s">
        <v>64</v>
      </c>
      <c r="H325" t="s">
        <v>198</v>
      </c>
      <c r="I325" t="s">
        <v>199</v>
      </c>
      <c r="J325" t="s">
        <v>22</v>
      </c>
      <c r="K325" t="s">
        <v>282</v>
      </c>
      <c r="L325" t="s">
        <v>50</v>
      </c>
      <c r="M325" t="s">
        <v>106</v>
      </c>
      <c r="N325" t="s">
        <v>283</v>
      </c>
    </row>
    <row r="326" spans="1:14" ht="12.75">
      <c r="A326" t="str">
        <f>HYPERLINK("http://www.onsemi.com/PowerSolutions/product.do?id=BD438G","BD438G")</f>
        <v>BD438G</v>
      </c>
      <c r="B326" t="str">
        <f>HYPERLINK("http://www.onsemi.com/pub/Collateral/BD438-D.PDF","BD438/D (58.0kB)")</f>
        <v>BD438/D (58.0kB)</v>
      </c>
      <c r="C326" t="s">
        <v>19</v>
      </c>
      <c r="D326" t="s">
        <v>70</v>
      </c>
      <c r="E326" t="s">
        <v>287</v>
      </c>
      <c r="F326" t="s">
        <v>94</v>
      </c>
      <c r="G326" t="s">
        <v>64</v>
      </c>
      <c r="H326" t="s">
        <v>198</v>
      </c>
      <c r="I326" t="s">
        <v>199</v>
      </c>
      <c r="J326" t="s">
        <v>22</v>
      </c>
      <c r="K326" t="s">
        <v>282</v>
      </c>
      <c r="L326" t="s">
        <v>59</v>
      </c>
      <c r="M326" t="s">
        <v>106</v>
      </c>
      <c r="N326" t="s">
        <v>285</v>
      </c>
    </row>
    <row r="327" spans="1:14" ht="12.75">
      <c r="A327" t="str">
        <f>HYPERLINK("http://www.onsemi.com/PowerSolutions/product.do?id=BD439G","BD439G")</f>
        <v>BD439G</v>
      </c>
      <c r="B327" t="str">
        <f>HYPERLINK("http://www.onsemi.com/pub/Collateral/BD437-D.PDF","BD437/D (59.0kB)")</f>
        <v>BD437/D (59.0kB)</v>
      </c>
      <c r="C327" t="s">
        <v>19</v>
      </c>
      <c r="D327" t="s">
        <v>70</v>
      </c>
      <c r="E327" t="s">
        <v>129</v>
      </c>
      <c r="F327" t="s">
        <v>94</v>
      </c>
      <c r="G327" t="s">
        <v>73</v>
      </c>
      <c r="H327" t="s">
        <v>41</v>
      </c>
      <c r="I327" t="s">
        <v>67</v>
      </c>
      <c r="J327" t="s">
        <v>22</v>
      </c>
      <c r="K327" t="s">
        <v>282</v>
      </c>
      <c r="L327" t="s">
        <v>50</v>
      </c>
      <c r="M327" t="s">
        <v>106</v>
      </c>
      <c r="N327" t="s">
        <v>283</v>
      </c>
    </row>
    <row r="328" spans="1:14" ht="12.75">
      <c r="A328" t="str">
        <f>HYPERLINK("http://www.onsemi.com/PowerSolutions/product.do?id=BD440G","BD440G")</f>
        <v>BD440G</v>
      </c>
      <c r="B328" t="str">
        <f>HYPERLINK("http://www.onsemi.com/pub/Collateral/BD438-D.PDF","BD438/D (58.0kB)")</f>
        <v>BD438/D (58.0kB)</v>
      </c>
      <c r="C328" t="s">
        <v>19</v>
      </c>
      <c r="D328" t="s">
        <v>70</v>
      </c>
      <c r="E328" t="s">
        <v>131</v>
      </c>
      <c r="F328" t="s">
        <v>94</v>
      </c>
      <c r="G328" t="s">
        <v>73</v>
      </c>
      <c r="H328" t="s">
        <v>41</v>
      </c>
      <c r="I328" t="s">
        <v>67</v>
      </c>
      <c r="J328" t="s">
        <v>22</v>
      </c>
      <c r="K328" t="s">
        <v>282</v>
      </c>
      <c r="L328" t="s">
        <v>59</v>
      </c>
      <c r="M328" t="s">
        <v>106</v>
      </c>
      <c r="N328" t="s">
        <v>285</v>
      </c>
    </row>
    <row r="329" spans="1:14" ht="12.75">
      <c r="A329" t="str">
        <f>HYPERLINK("http://www.onsemi.com/PowerSolutions/product.do?id=BD441G","BD441G")</f>
        <v>BD441G</v>
      </c>
      <c r="B329" t="str">
        <f>HYPERLINK("http://www.onsemi.com/pub/Collateral/BD437-D.PDF","BD437/D (59.0kB)")</f>
        <v>BD437/D (59.0kB)</v>
      </c>
      <c r="C329" t="s">
        <v>19</v>
      </c>
      <c r="D329" t="s">
        <v>70</v>
      </c>
      <c r="E329" t="s">
        <v>130</v>
      </c>
      <c r="F329" t="s">
        <v>94</v>
      </c>
      <c r="G329" t="s">
        <v>111</v>
      </c>
      <c r="H329" t="s">
        <v>41</v>
      </c>
      <c r="I329" t="s">
        <v>67</v>
      </c>
      <c r="J329" t="s">
        <v>22</v>
      </c>
      <c r="K329" t="s">
        <v>282</v>
      </c>
      <c r="L329" t="s">
        <v>50</v>
      </c>
      <c r="M329" t="s">
        <v>106</v>
      </c>
      <c r="N329" t="s">
        <v>283</v>
      </c>
    </row>
    <row r="330" spans="1:14" ht="12.75">
      <c r="A330" t="str">
        <f>HYPERLINK("http://www.onsemi.com/PowerSolutions/product.do?id=BD442G","BD442G")</f>
        <v>BD442G</v>
      </c>
      <c r="B330" t="str">
        <f>HYPERLINK("http://www.onsemi.com/pub/Collateral/BD438-D.PDF","BD438/D (58.0kB)")</f>
        <v>BD438/D (58.0kB)</v>
      </c>
      <c r="C330" t="s">
        <v>19</v>
      </c>
      <c r="D330" t="s">
        <v>70</v>
      </c>
      <c r="E330" t="s">
        <v>132</v>
      </c>
      <c r="F330" t="s">
        <v>94</v>
      </c>
      <c r="G330" t="s">
        <v>111</v>
      </c>
      <c r="H330" t="s">
        <v>41</v>
      </c>
      <c r="I330" t="s">
        <v>67</v>
      </c>
      <c r="J330" t="s">
        <v>22</v>
      </c>
      <c r="K330" t="s">
        <v>282</v>
      </c>
      <c r="L330" t="s">
        <v>59</v>
      </c>
      <c r="M330" t="s">
        <v>106</v>
      </c>
      <c r="N330" t="s">
        <v>109</v>
      </c>
    </row>
    <row r="331" spans="1:14" ht="12.75">
      <c r="A331" t="str">
        <f>HYPERLINK("http://www.onsemi.com/PowerSolutions/product.do?id=BD787G","BD787G")</f>
        <v>BD787G</v>
      </c>
      <c r="B331" t="str">
        <f>HYPERLINK("http://www.onsemi.com/pub/Collateral/BD787-D.PDF","BD787/D (78.0kB)")</f>
        <v>BD787/D (78.0kB)</v>
      </c>
      <c r="C331" t="s">
        <v>19</v>
      </c>
      <c r="D331" t="s">
        <v>70</v>
      </c>
      <c r="E331" t="s">
        <v>129</v>
      </c>
      <c r="F331" t="s">
        <v>94</v>
      </c>
      <c r="G331" t="s">
        <v>73</v>
      </c>
      <c r="H331" t="s">
        <v>41</v>
      </c>
      <c r="I331" t="s">
        <v>58</v>
      </c>
      <c r="J331" t="s">
        <v>120</v>
      </c>
      <c r="K331" t="s">
        <v>72</v>
      </c>
      <c r="L331" t="s">
        <v>50</v>
      </c>
      <c r="M331" t="s">
        <v>106</v>
      </c>
      <c r="N331" t="s">
        <v>264</v>
      </c>
    </row>
    <row r="332" spans="1:14" ht="12.75">
      <c r="A332" t="str">
        <f>HYPERLINK("http://www.onsemi.com/PowerSolutions/product.do?id=BD788G","BD788G")</f>
        <v>BD788G</v>
      </c>
      <c r="B332" t="str">
        <f>HYPERLINK("http://www.onsemi.com/pub/Collateral/BD787-D.PDF","BD787/D (78.0kB)")</f>
        <v>BD787/D (78.0kB)</v>
      </c>
      <c r="C332" t="s">
        <v>19</v>
      </c>
      <c r="D332" t="s">
        <v>70</v>
      </c>
      <c r="E332" t="s">
        <v>131</v>
      </c>
      <c r="F332" t="s">
        <v>94</v>
      </c>
      <c r="G332" t="s">
        <v>73</v>
      </c>
      <c r="H332" t="s">
        <v>41</v>
      </c>
      <c r="I332" t="s">
        <v>58</v>
      </c>
      <c r="J332" t="s">
        <v>120</v>
      </c>
      <c r="K332" t="s">
        <v>72</v>
      </c>
      <c r="L332" t="s">
        <v>59</v>
      </c>
      <c r="M332" t="s">
        <v>106</v>
      </c>
      <c r="N332" t="s">
        <v>266</v>
      </c>
    </row>
    <row r="333" spans="1:14" ht="12.75">
      <c r="A333" t="str">
        <f>HYPERLINK("http://www.onsemi.com/PowerSolutions/product.do?id=BD809G","BD809G")</f>
        <v>BD809G</v>
      </c>
      <c r="B333" t="str">
        <f>HYPERLINK("http://www.onsemi.com/pub/Collateral/BD809-D.PDF","BD809/D (80.0kB)")</f>
        <v>BD809/D (80.0kB)</v>
      </c>
      <c r="C333" t="s">
        <v>19</v>
      </c>
      <c r="D333" t="s">
        <v>70</v>
      </c>
      <c r="E333" t="s">
        <v>288</v>
      </c>
      <c r="F333" t="s">
        <v>79</v>
      </c>
      <c r="G333" t="s">
        <v>111</v>
      </c>
      <c r="H333" t="s">
        <v>86</v>
      </c>
      <c r="J333" t="s">
        <v>176</v>
      </c>
      <c r="K333" t="s">
        <v>117</v>
      </c>
      <c r="L333" t="s">
        <v>50</v>
      </c>
      <c r="M333" t="s">
        <v>153</v>
      </c>
      <c r="N333" t="s">
        <v>165</v>
      </c>
    </row>
    <row r="334" spans="1:14" ht="12.75">
      <c r="A334" t="str">
        <f>HYPERLINK("http://www.onsemi.com/PowerSolutions/product.do?id=BD810","BD810")</f>
        <v>BD810</v>
      </c>
      <c r="B334" t="str">
        <f>HYPERLINK("http://www.onsemi.com/pub/Collateral/BD809-D.PDF","BD809/D (80.0kB)")</f>
        <v>BD809/D (80.0kB)</v>
      </c>
      <c r="C334" t="s">
        <v>69</v>
      </c>
      <c r="D334" t="s">
        <v>70</v>
      </c>
      <c r="E334" t="s">
        <v>289</v>
      </c>
      <c r="F334" t="s">
        <v>79</v>
      </c>
      <c r="G334" t="s">
        <v>111</v>
      </c>
      <c r="H334" t="s">
        <v>86</v>
      </c>
      <c r="J334" t="s">
        <v>176</v>
      </c>
      <c r="K334" t="s">
        <v>117</v>
      </c>
      <c r="L334" t="s">
        <v>59</v>
      </c>
      <c r="M334" t="s">
        <v>153</v>
      </c>
      <c r="N334" t="s">
        <v>169</v>
      </c>
    </row>
    <row r="335" spans="1:14" ht="12.75">
      <c r="A335" t="str">
        <f>HYPERLINK("http://www.onsemi.com/PowerSolutions/product.do?id=BD810G","BD810G")</f>
        <v>BD810G</v>
      </c>
      <c r="B335" t="str">
        <f>HYPERLINK("http://www.onsemi.com/pub/Collateral/BD809-D.PDF","BD809/D (80.0kB)")</f>
        <v>BD809/D (80.0kB)</v>
      </c>
      <c r="C335" t="s">
        <v>19</v>
      </c>
      <c r="D335" t="s">
        <v>70</v>
      </c>
      <c r="E335" t="s">
        <v>289</v>
      </c>
      <c r="F335" t="s">
        <v>79</v>
      </c>
      <c r="G335" t="s">
        <v>111</v>
      </c>
      <c r="H335" t="s">
        <v>86</v>
      </c>
      <c r="J335" t="s">
        <v>176</v>
      </c>
      <c r="K335" t="s">
        <v>117</v>
      </c>
      <c r="L335" t="s">
        <v>59</v>
      </c>
      <c r="M335" t="s">
        <v>153</v>
      </c>
      <c r="N335" t="s">
        <v>169</v>
      </c>
    </row>
    <row r="336" spans="1:14" ht="12.75">
      <c r="A336" t="str">
        <f>HYPERLINK("http://www.onsemi.com/PowerSolutions/product.do?id=BF422G","BF422G")</f>
        <v>BF422G</v>
      </c>
      <c r="B336" t="str">
        <f>HYPERLINK("http://www.onsemi.com/pub/Collateral/BF420-D.PDF","BF420/D (61.0kB)")</f>
        <v>BF420/D (61.0kB)</v>
      </c>
      <c r="C336" t="s">
        <v>19</v>
      </c>
      <c r="D336" t="s">
        <v>70</v>
      </c>
      <c r="E336" t="s">
        <v>137</v>
      </c>
      <c r="F336" t="s">
        <v>135</v>
      </c>
      <c r="G336" t="s">
        <v>58</v>
      </c>
      <c r="H336" t="s">
        <v>120</v>
      </c>
      <c r="J336" t="s">
        <v>73</v>
      </c>
      <c r="K336" t="s">
        <v>290</v>
      </c>
      <c r="L336" t="s">
        <v>50</v>
      </c>
      <c r="M336" t="s">
        <v>97</v>
      </c>
      <c r="N336" t="s">
        <v>291</v>
      </c>
    </row>
    <row r="337" spans="1:14" ht="12.75">
      <c r="A337" t="str">
        <f>HYPERLINK("http://www.onsemi.com/PowerSolutions/product.do?id=BF423ZL1G","BF423ZL1G")</f>
        <v>BF423ZL1G</v>
      </c>
      <c r="B337" t="str">
        <f>HYPERLINK("http://www.onsemi.com/pub/Collateral/BF421-D.PDF","BF421/D (61.0kB)")</f>
        <v>BF421/D (61.0kB)</v>
      </c>
      <c r="C337" t="s">
        <v>19</v>
      </c>
      <c r="D337" t="s">
        <v>70</v>
      </c>
      <c r="E337" t="s">
        <v>134</v>
      </c>
      <c r="F337" t="s">
        <v>119</v>
      </c>
      <c r="G337" t="s">
        <v>58</v>
      </c>
      <c r="H337" t="s">
        <v>120</v>
      </c>
      <c r="J337" t="s">
        <v>73</v>
      </c>
      <c r="K337" t="s">
        <v>290</v>
      </c>
      <c r="L337" t="s">
        <v>59</v>
      </c>
      <c r="M337" t="s">
        <v>97</v>
      </c>
      <c r="N337" t="s">
        <v>291</v>
      </c>
    </row>
    <row r="338" spans="1:14" ht="12.75">
      <c r="A338" t="str">
        <f>HYPERLINK("http://www.onsemi.com/PowerSolutions/product.do?id=BF493SG","BF493SG")</f>
        <v>BF493SG</v>
      </c>
      <c r="B338" t="str">
        <f>HYPERLINK("http://www.onsemi.com/pub/Collateral/BF493S-D.PDF","BF493S/D (58.0kB)")</f>
        <v>BF493S/D (58.0kB)</v>
      </c>
      <c r="C338" t="s">
        <v>19</v>
      </c>
      <c r="D338" t="s">
        <v>70</v>
      </c>
      <c r="E338" t="s">
        <v>134</v>
      </c>
      <c r="F338" t="s">
        <v>135</v>
      </c>
      <c r="G338" t="s">
        <v>35</v>
      </c>
      <c r="H338" t="s">
        <v>41</v>
      </c>
      <c r="J338" t="s">
        <v>120</v>
      </c>
      <c r="K338" t="s">
        <v>96</v>
      </c>
      <c r="L338" t="s">
        <v>59</v>
      </c>
      <c r="M338" t="s">
        <v>97</v>
      </c>
      <c r="N338" t="s">
        <v>201</v>
      </c>
    </row>
    <row r="339" spans="1:14" ht="12.75">
      <c r="A339" t="str">
        <f>HYPERLINK("http://www.onsemi.com/PowerSolutions/product.do?id=BF720T1","BF720T1")</f>
        <v>BF720T1</v>
      </c>
      <c r="B339" t="str">
        <f>HYPERLINK("http://www.onsemi.com/pub/Collateral/BF720T1-D.PDF","BF720T1/D (58.0kB)")</f>
        <v>BF720T1/D (58.0kB)</v>
      </c>
      <c r="C339" t="s">
        <v>69</v>
      </c>
      <c r="D339" t="s">
        <v>70</v>
      </c>
      <c r="E339" t="s">
        <v>137</v>
      </c>
      <c r="F339" t="s">
        <v>63</v>
      </c>
      <c r="G339" t="s">
        <v>48</v>
      </c>
      <c r="H339" t="s">
        <v>120</v>
      </c>
      <c r="J339" t="s">
        <v>73</v>
      </c>
      <c r="K339" t="s">
        <v>176</v>
      </c>
      <c r="L339" t="s">
        <v>50</v>
      </c>
      <c r="M339" t="s">
        <v>28</v>
      </c>
      <c r="N339" t="s">
        <v>100</v>
      </c>
    </row>
    <row r="340" spans="1:14" ht="12.75">
      <c r="A340" t="str">
        <f>HYPERLINK("http://www.onsemi.com/PowerSolutions/product.do?id=BF720T1G","BF720T1G")</f>
        <v>BF720T1G</v>
      </c>
      <c r="B340" t="str">
        <f>HYPERLINK("http://www.onsemi.com/pub/Collateral/BF720T1-D.PDF","BF720T1/D (58.0kB)")</f>
        <v>BF720T1/D (58.0kB)</v>
      </c>
      <c r="C340" t="s">
        <v>19</v>
      </c>
      <c r="D340" t="s">
        <v>70</v>
      </c>
      <c r="E340" t="s">
        <v>137</v>
      </c>
      <c r="F340" t="s">
        <v>63</v>
      </c>
      <c r="G340" t="s">
        <v>48</v>
      </c>
      <c r="H340" t="s">
        <v>120</v>
      </c>
      <c r="J340" t="s">
        <v>73</v>
      </c>
      <c r="K340" t="s">
        <v>176</v>
      </c>
      <c r="L340" t="s">
        <v>50</v>
      </c>
      <c r="M340" t="s">
        <v>28</v>
      </c>
      <c r="N340" t="s">
        <v>292</v>
      </c>
    </row>
    <row r="341" spans="1:14" ht="12.75">
      <c r="A341" t="str">
        <f>HYPERLINK("http://www.onsemi.com/PowerSolutions/product.do?id=BF721T1G","BF721T1G")</f>
        <v>BF721T1G</v>
      </c>
      <c r="B341" t="str">
        <f>HYPERLINK("http://www.onsemi.com/pub/Collateral/BF721T1-D.PDF","BF721T1/D (78.0kB)")</f>
        <v>BF721T1/D (78.0kB)</v>
      </c>
      <c r="C341" t="s">
        <v>19</v>
      </c>
      <c r="D341" t="s">
        <v>70</v>
      </c>
      <c r="E341" t="s">
        <v>134</v>
      </c>
      <c r="F341" t="s">
        <v>63</v>
      </c>
      <c r="G341" t="s">
        <v>48</v>
      </c>
      <c r="H341" t="s">
        <v>120</v>
      </c>
      <c r="J341" t="s">
        <v>73</v>
      </c>
      <c r="K341" t="s">
        <v>176</v>
      </c>
      <c r="L341" t="s">
        <v>59</v>
      </c>
      <c r="M341" t="s">
        <v>28</v>
      </c>
      <c r="N341" t="s">
        <v>252</v>
      </c>
    </row>
    <row r="342" spans="1:14" ht="12.75">
      <c r="A342" t="str">
        <f>HYPERLINK("http://www.onsemi.com/PowerSolutions/product.do?id=BSP16T1G","BSP16T1G")</f>
        <v>BSP16T1G</v>
      </c>
      <c r="B342" t="str">
        <f>HYPERLINK("http://www.onsemi.com/pub/Collateral/BSP16T1-D.PDF","BSP16T1/D (60.0kB)")</f>
        <v>BSP16T1/D (60.0kB)</v>
      </c>
      <c r="C342" t="s">
        <v>19</v>
      </c>
      <c r="D342" t="s">
        <v>70</v>
      </c>
      <c r="E342" t="s">
        <v>134</v>
      </c>
      <c r="F342" t="s">
        <v>63</v>
      </c>
      <c r="G342" t="s">
        <v>48</v>
      </c>
      <c r="H342" t="s">
        <v>86</v>
      </c>
      <c r="I342" t="s">
        <v>24</v>
      </c>
      <c r="J342" t="s">
        <v>72</v>
      </c>
      <c r="K342" t="s">
        <v>176</v>
      </c>
      <c r="L342" t="s">
        <v>59</v>
      </c>
      <c r="M342" t="s">
        <v>28</v>
      </c>
      <c r="N342" t="s">
        <v>252</v>
      </c>
    </row>
    <row r="343" spans="1:14" ht="12.75">
      <c r="A343" t="str">
        <f>HYPERLINK("http://www.onsemi.com/PowerSolutions/product.do?id=BSP19AT1","BSP19AT1")</f>
        <v>BSP19AT1</v>
      </c>
      <c r="B343" t="str">
        <f>HYPERLINK("http://www.onsemi.com/pub/Collateral/BSP19AT1-D.PDF","BSP19AT1/D (73.0kB)")</f>
        <v>BSP19AT1/D (73.0kB)</v>
      </c>
      <c r="C343" t="s">
        <v>69</v>
      </c>
      <c r="D343" t="s">
        <v>70</v>
      </c>
      <c r="E343" t="s">
        <v>137</v>
      </c>
      <c r="F343" t="s">
        <v>63</v>
      </c>
      <c r="G343" t="s">
        <v>35</v>
      </c>
      <c r="H343" t="s">
        <v>41</v>
      </c>
      <c r="J343" t="s">
        <v>74</v>
      </c>
      <c r="K343" t="s">
        <v>195</v>
      </c>
      <c r="L343" t="s">
        <v>50</v>
      </c>
      <c r="M343" t="s">
        <v>28</v>
      </c>
      <c r="N343" t="s">
        <v>293</v>
      </c>
    </row>
    <row r="344" spans="1:14" ht="12.75">
      <c r="A344" t="str">
        <f>HYPERLINK("http://www.onsemi.com/PowerSolutions/product.do?id=BSP19AT1G","BSP19AT1G")</f>
        <v>BSP19AT1G</v>
      </c>
      <c r="B344" t="str">
        <f>HYPERLINK("http://www.onsemi.com/pub/Collateral/BSP19AT1-D.PDF","BSP19AT1/D (73.0kB)")</f>
        <v>BSP19AT1/D (73.0kB)</v>
      </c>
      <c r="C344" t="s">
        <v>19</v>
      </c>
      <c r="D344" t="s">
        <v>70</v>
      </c>
      <c r="E344" t="s">
        <v>137</v>
      </c>
      <c r="F344" t="s">
        <v>63</v>
      </c>
      <c r="G344" t="s">
        <v>35</v>
      </c>
      <c r="H344" t="s">
        <v>41</v>
      </c>
      <c r="J344" t="s">
        <v>74</v>
      </c>
      <c r="K344" t="s">
        <v>195</v>
      </c>
      <c r="L344" t="s">
        <v>50</v>
      </c>
      <c r="M344" t="s">
        <v>28</v>
      </c>
      <c r="N344" t="s">
        <v>293</v>
      </c>
    </row>
    <row r="345" spans="1:14" ht="12.75">
      <c r="A345" t="str">
        <f>HYPERLINK("http://www.onsemi.com/PowerSolutions/product.do?id=BSS63LT1G","BSS63LT1G")</f>
        <v>BSS63LT1G</v>
      </c>
      <c r="B345" t="str">
        <f>HYPERLINK("http://www.onsemi.com/pub/Collateral/BSS63LT1-D.PDF","BSS63LT1/D (87.0kB)")</f>
        <v>BSS63LT1/D (87.0kB)</v>
      </c>
      <c r="C345" t="s">
        <v>19</v>
      </c>
      <c r="D345" t="s">
        <v>70</v>
      </c>
      <c r="E345" t="s">
        <v>134</v>
      </c>
      <c r="F345" t="s">
        <v>63</v>
      </c>
      <c r="G345" t="s">
        <v>23</v>
      </c>
      <c r="H345" t="s">
        <v>86</v>
      </c>
      <c r="J345" t="s">
        <v>120</v>
      </c>
      <c r="K345" t="s">
        <v>207</v>
      </c>
      <c r="L345" t="s">
        <v>59</v>
      </c>
      <c r="M345" t="s">
        <v>208</v>
      </c>
      <c r="N345" t="s">
        <v>294</v>
      </c>
    </row>
    <row r="346" spans="1:14" ht="12.75">
      <c r="A346" t="str">
        <f>HYPERLINK("http://www.onsemi.com/PowerSolutions/product.do?id=BSS64LT1G","BSS64LT1G")</f>
        <v>BSS64LT1G</v>
      </c>
      <c r="B346" t="str">
        <f>HYPERLINK("http://www.onsemi.com/pub/Collateral/BSS64LT1-D.PDF","BSS64LT1/D (42.0kB)")</f>
        <v>BSS64LT1/D (42.0kB)</v>
      </c>
      <c r="C346" t="s">
        <v>19</v>
      </c>
      <c r="D346" t="s">
        <v>70</v>
      </c>
      <c r="E346" t="s">
        <v>95</v>
      </c>
      <c r="F346" t="s">
        <v>63</v>
      </c>
      <c r="G346" t="s">
        <v>111</v>
      </c>
      <c r="H346" t="s">
        <v>32</v>
      </c>
      <c r="J346" t="s">
        <v>73</v>
      </c>
      <c r="K346" t="s">
        <v>207</v>
      </c>
      <c r="L346" t="s">
        <v>50</v>
      </c>
      <c r="M346" t="s">
        <v>208</v>
      </c>
      <c r="N346" t="s">
        <v>295</v>
      </c>
    </row>
    <row r="347" spans="1:14" ht="12.75">
      <c r="A347" t="str">
        <f>HYPERLINK("http://www.onsemi.com/PowerSolutions/product.do?id=BU406G","BU406G")</f>
        <v>BU406G</v>
      </c>
      <c r="B347" t="str">
        <f>HYPERLINK("http://www.onsemi.com/pub/Collateral/BU406-D.PDF","BU406/D (54.0kB)")</f>
        <v>BU406/D (54.0kB)</v>
      </c>
      <c r="C347" t="s">
        <v>19</v>
      </c>
      <c r="D347" t="s">
        <v>70</v>
      </c>
      <c r="E347" t="s">
        <v>296</v>
      </c>
      <c r="F347" t="s">
        <v>152</v>
      </c>
      <c r="G347" t="s">
        <v>33</v>
      </c>
      <c r="J347" t="s">
        <v>79</v>
      </c>
      <c r="K347" t="s">
        <v>73</v>
      </c>
      <c r="L347" t="s">
        <v>50</v>
      </c>
      <c r="M347" t="s">
        <v>153</v>
      </c>
      <c r="N347" t="s">
        <v>297</v>
      </c>
    </row>
    <row r="348" spans="1:14" ht="12.75">
      <c r="A348" t="str">
        <f>HYPERLINK("http://www.onsemi.com/PowerSolutions/product.do?id=BUD42D-1G","BUD42D-1G")</f>
        <v>BUD42D-1G</v>
      </c>
      <c r="B348" t="str">
        <f>HYPERLINK("http://www.onsemi.com/pub/Collateral/BUD42D-D.PDF","BUD42D/D (129.0kB)")</f>
        <v>BUD42D/D (129.0kB)</v>
      </c>
      <c r="C348" t="s">
        <v>19</v>
      </c>
      <c r="D348" t="s">
        <v>70</v>
      </c>
      <c r="E348" t="s">
        <v>298</v>
      </c>
      <c r="F348" t="s">
        <v>94</v>
      </c>
      <c r="G348" t="s">
        <v>35</v>
      </c>
      <c r="H348" t="s">
        <v>79</v>
      </c>
      <c r="K348" t="s">
        <v>102</v>
      </c>
      <c r="L348" t="s">
        <v>50</v>
      </c>
      <c r="M348" t="s">
        <v>299</v>
      </c>
      <c r="N348" t="s">
        <v>300</v>
      </c>
    </row>
    <row r="349" spans="1:14" ht="12.75">
      <c r="A349" t="str">
        <f>HYPERLINK("http://www.onsemi.com/PowerSolutions/product.do?id=BUD42DG","BUD42DG")</f>
        <v>BUD42DG</v>
      </c>
      <c r="B349" t="str">
        <f>HYPERLINK("http://www.onsemi.com/pub/Collateral/BUD42D-D.PDF","BUD42D/D (129.0kB)")</f>
        <v>BUD42D/D (129.0kB)</v>
      </c>
      <c r="C349" t="s">
        <v>19</v>
      </c>
      <c r="D349" t="s">
        <v>70</v>
      </c>
      <c r="E349" t="s">
        <v>298</v>
      </c>
      <c r="F349" t="s">
        <v>94</v>
      </c>
      <c r="G349" t="s">
        <v>35</v>
      </c>
      <c r="H349" t="s">
        <v>79</v>
      </c>
      <c r="K349" t="s">
        <v>102</v>
      </c>
      <c r="L349" t="s">
        <v>50</v>
      </c>
      <c r="M349" t="s">
        <v>301</v>
      </c>
      <c r="N349" t="s">
        <v>300</v>
      </c>
    </row>
    <row r="350" spans="1:14" ht="12.75">
      <c r="A350" t="str">
        <f>HYPERLINK("http://www.onsemi.com/PowerSolutions/product.do?id=BUD42DT4G","BUD42DT4G")</f>
        <v>BUD42DT4G</v>
      </c>
      <c r="B350" t="str">
        <f>HYPERLINK("http://www.onsemi.com/pub/Collateral/BUD42D-D.PDF","BUD42D/D (129.0kB)")</f>
        <v>BUD42D/D (129.0kB)</v>
      </c>
      <c r="C350" t="s">
        <v>19</v>
      </c>
      <c r="D350" t="s">
        <v>70</v>
      </c>
      <c r="E350" t="s">
        <v>298</v>
      </c>
      <c r="F350" t="s">
        <v>94</v>
      </c>
      <c r="G350" t="s">
        <v>35</v>
      </c>
      <c r="H350" t="s">
        <v>79</v>
      </c>
      <c r="K350" t="s">
        <v>102</v>
      </c>
      <c r="L350" t="s">
        <v>50</v>
      </c>
      <c r="M350" t="s">
        <v>301</v>
      </c>
      <c r="N350" t="s">
        <v>300</v>
      </c>
    </row>
    <row r="351" spans="1:14" ht="12.75">
      <c r="A351" t="str">
        <f>HYPERLINK("http://www.onsemi.com/PowerSolutions/product.do?id=BUH100G","BUH100G")</f>
        <v>BUH100G</v>
      </c>
      <c r="B351" t="str">
        <f>HYPERLINK("http://www.onsemi.com/pub/Collateral/BUH100-D.PDF","BUH100/D (148.0kB)")</f>
        <v>BUH100/D (148.0kB)</v>
      </c>
      <c r="C351" t="s">
        <v>19</v>
      </c>
      <c r="D351" t="s">
        <v>70</v>
      </c>
      <c r="E351" t="s">
        <v>302</v>
      </c>
      <c r="F351" t="s">
        <v>79</v>
      </c>
      <c r="G351" t="s">
        <v>125</v>
      </c>
      <c r="H351" t="s">
        <v>72</v>
      </c>
      <c r="J351" t="s">
        <v>303</v>
      </c>
      <c r="K351" t="s">
        <v>23</v>
      </c>
      <c r="L351" t="s">
        <v>50</v>
      </c>
      <c r="M351" t="s">
        <v>153</v>
      </c>
      <c r="N351" t="s">
        <v>304</v>
      </c>
    </row>
    <row r="352" spans="1:14" ht="12.75">
      <c r="A352" t="str">
        <f>HYPERLINK("http://www.onsemi.com/PowerSolutions/product.do?id=BUH150G","BUH150G")</f>
        <v>BUH150G</v>
      </c>
      <c r="B352" t="str">
        <f>HYPERLINK("http://www.onsemi.com/pub/Collateral/BUH150-D.PDF","BUH150/D (145.0kB)")</f>
        <v>BUH150/D (145.0kB)</v>
      </c>
      <c r="C352" t="s">
        <v>19</v>
      </c>
      <c r="D352" t="s">
        <v>70</v>
      </c>
      <c r="E352" t="s">
        <v>305</v>
      </c>
      <c r="F352" t="s">
        <v>72</v>
      </c>
      <c r="G352" t="s">
        <v>125</v>
      </c>
      <c r="H352" t="s">
        <v>306</v>
      </c>
      <c r="J352" t="s">
        <v>303</v>
      </c>
      <c r="K352" t="s">
        <v>88</v>
      </c>
      <c r="L352" t="s">
        <v>50</v>
      </c>
      <c r="M352" t="s">
        <v>153</v>
      </c>
      <c r="N352" t="s">
        <v>307</v>
      </c>
    </row>
    <row r="353" spans="1:14" ht="12.75">
      <c r="A353" t="str">
        <f>HYPERLINK("http://www.onsemi.com/PowerSolutions/product.do?id=BUH50G","BUH50G")</f>
        <v>BUH50G</v>
      </c>
      <c r="B353" t="str">
        <f>HYPERLINK("http://www.onsemi.com/pub/Collateral/BUH50-D.PDF","BUH50/D (138.0kB)")</f>
        <v>BUH50/D (138.0kB)</v>
      </c>
      <c r="C353" t="s">
        <v>19</v>
      </c>
      <c r="D353" t="s">
        <v>70</v>
      </c>
      <c r="E353" t="s">
        <v>308</v>
      </c>
      <c r="F353" t="s">
        <v>94</v>
      </c>
      <c r="G353" t="s">
        <v>34</v>
      </c>
      <c r="H353" t="s">
        <v>152</v>
      </c>
      <c r="J353" t="s">
        <v>94</v>
      </c>
      <c r="K353" t="s">
        <v>120</v>
      </c>
      <c r="L353" t="s">
        <v>50</v>
      </c>
      <c r="M353" t="s">
        <v>153</v>
      </c>
      <c r="N353" t="s">
        <v>165</v>
      </c>
    </row>
    <row r="354" spans="1:14" ht="12.75">
      <c r="A354" t="str">
        <f>HYPERLINK("http://www.onsemi.com/PowerSolutions/product.do?id=BUH51G","BUH51G")</f>
        <v>BUH51G</v>
      </c>
      <c r="B354" t="str">
        <f>HYPERLINK("http://www.onsemi.com/pub/Collateral/BUH51-D.PDF","BUH51/D (186.0kB)")</f>
        <v>BUH51/D (186.0kB)</v>
      </c>
      <c r="C354" t="s">
        <v>19</v>
      </c>
      <c r="D354" t="s">
        <v>70</v>
      </c>
      <c r="E354" t="s">
        <v>309</v>
      </c>
      <c r="F354" t="s">
        <v>22</v>
      </c>
      <c r="G354" t="s">
        <v>34</v>
      </c>
      <c r="H354" t="s">
        <v>306</v>
      </c>
      <c r="J354" t="s">
        <v>303</v>
      </c>
      <c r="K354" t="s">
        <v>120</v>
      </c>
      <c r="L354" t="s">
        <v>50</v>
      </c>
      <c r="M354" t="s">
        <v>106</v>
      </c>
      <c r="N354" t="s">
        <v>285</v>
      </c>
    </row>
    <row r="355" spans="1:14" ht="12.75">
      <c r="A355" t="str">
        <f>HYPERLINK("http://www.onsemi.com/PowerSolutions/product.do?id=BUL146FG","BUL146FG")</f>
        <v>BUL146FG</v>
      </c>
      <c r="B355" t="str">
        <f>HYPERLINK("http://www.onsemi.com/pub/Collateral/BUL146-D.PDF","BUL146/D (184.0kB)")</f>
        <v>BUL146/D (184.0kB)</v>
      </c>
      <c r="C355" t="s">
        <v>19</v>
      </c>
      <c r="D355" t="s">
        <v>70</v>
      </c>
      <c r="E355" t="s">
        <v>310</v>
      </c>
      <c r="F355" t="s">
        <v>40</v>
      </c>
      <c r="G355" t="s">
        <v>125</v>
      </c>
      <c r="H355" t="s">
        <v>311</v>
      </c>
      <c r="I355" t="s">
        <v>312</v>
      </c>
      <c r="K355" t="s">
        <v>41</v>
      </c>
      <c r="L355" t="s">
        <v>50</v>
      </c>
      <c r="M355" t="s">
        <v>313</v>
      </c>
      <c r="N355" t="s">
        <v>304</v>
      </c>
    </row>
    <row r="356" spans="1:14" ht="12.75">
      <c r="A356" t="str">
        <f>HYPERLINK("http://www.onsemi.com/PowerSolutions/product.do?id=BUL146G","BUL146G")</f>
        <v>BUL146G</v>
      </c>
      <c r="B356" t="str">
        <f>HYPERLINK("http://www.onsemi.com/pub/Collateral/BUL146-D.PDF","BUL146/D (184.0kB)")</f>
        <v>BUL146/D (184.0kB)</v>
      </c>
      <c r="C356" t="s">
        <v>19</v>
      </c>
      <c r="D356" t="s">
        <v>70</v>
      </c>
      <c r="E356" t="s">
        <v>310</v>
      </c>
      <c r="F356" t="s">
        <v>40</v>
      </c>
      <c r="G356" t="s">
        <v>125</v>
      </c>
      <c r="H356" t="s">
        <v>311</v>
      </c>
      <c r="I356" t="s">
        <v>312</v>
      </c>
      <c r="K356" t="s">
        <v>23</v>
      </c>
      <c r="L356" t="s">
        <v>50</v>
      </c>
      <c r="M356" t="s">
        <v>153</v>
      </c>
      <c r="N356" t="s">
        <v>297</v>
      </c>
    </row>
    <row r="357" spans="1:14" ht="12.75">
      <c r="A357" t="str">
        <f>HYPERLINK("http://www.onsemi.com/PowerSolutions/product.do?id=BUL44G","BUL44G")</f>
        <v>BUL44G</v>
      </c>
      <c r="B357" t="str">
        <f>HYPERLINK("http://www.onsemi.com/pub/Collateral/BUL44-D.PDF","BUL44/D (106.0kB)")</f>
        <v>BUL44/D (106.0kB)</v>
      </c>
      <c r="C357" t="s">
        <v>19</v>
      </c>
      <c r="D357" t="s">
        <v>70</v>
      </c>
      <c r="E357" t="s">
        <v>314</v>
      </c>
      <c r="F357" t="s">
        <v>26</v>
      </c>
      <c r="G357" t="s">
        <v>125</v>
      </c>
      <c r="H357" t="s">
        <v>311</v>
      </c>
      <c r="I357" t="s">
        <v>312</v>
      </c>
      <c r="K357" t="s">
        <v>23</v>
      </c>
      <c r="L357" t="s">
        <v>50</v>
      </c>
      <c r="M357" t="s">
        <v>153</v>
      </c>
      <c r="N357" t="s">
        <v>278</v>
      </c>
    </row>
    <row r="358" spans="1:14" ht="12.75">
      <c r="A358" t="str">
        <f>HYPERLINK("http://www.onsemi.com/PowerSolutions/product.do?id=BUL45","BUL45")</f>
        <v>BUL45</v>
      </c>
      <c r="B358" t="str">
        <f>HYPERLINK("http://www.onsemi.com/pub/Collateral/BUL45-D.PDF","BUL45/D (120.0kB)")</f>
        <v>BUL45/D (120.0kB)</v>
      </c>
      <c r="C358" t="s">
        <v>69</v>
      </c>
      <c r="D358" t="s">
        <v>70</v>
      </c>
      <c r="E358" t="s">
        <v>315</v>
      </c>
      <c r="F358" t="s">
        <v>163</v>
      </c>
      <c r="G358" t="s">
        <v>125</v>
      </c>
      <c r="H358" t="s">
        <v>311</v>
      </c>
      <c r="I358" t="s">
        <v>312</v>
      </c>
      <c r="K358" t="s">
        <v>164</v>
      </c>
      <c r="L358" t="s">
        <v>50</v>
      </c>
      <c r="M358" t="s">
        <v>153</v>
      </c>
      <c r="N358" t="s">
        <v>316</v>
      </c>
    </row>
    <row r="359" spans="1:14" ht="12.75">
      <c r="A359" t="str">
        <f>HYPERLINK("http://www.onsemi.com/PowerSolutions/product.do?id=BUL45D2","BUL45D2")</f>
        <v>BUL45D2</v>
      </c>
      <c r="B359" t="str">
        <f>HYPERLINK("http://www.onsemi.com/pub/Collateral/BUL45D2-D.PDF","BUL45D2/D (141.0kB)")</f>
        <v>BUL45D2/D (141.0kB)</v>
      </c>
      <c r="C359" t="s">
        <v>69</v>
      </c>
      <c r="D359" t="s">
        <v>70</v>
      </c>
      <c r="E359" t="s">
        <v>315</v>
      </c>
      <c r="F359" t="s">
        <v>163</v>
      </c>
      <c r="G359" t="s">
        <v>125</v>
      </c>
      <c r="H359" t="s">
        <v>317</v>
      </c>
      <c r="K359" t="s">
        <v>164</v>
      </c>
      <c r="L359" t="s">
        <v>50</v>
      </c>
      <c r="M359" t="s">
        <v>153</v>
      </c>
      <c r="N359" t="s">
        <v>316</v>
      </c>
    </row>
    <row r="360" spans="1:14" ht="12.75">
      <c r="A360" t="str">
        <f>HYPERLINK("http://www.onsemi.com/PowerSolutions/product.do?id=BUL45D2G","BUL45D2G")</f>
        <v>BUL45D2G</v>
      </c>
      <c r="B360" t="str">
        <f>HYPERLINK("http://www.onsemi.com/pub/Collateral/BUL45D2-D.PDF","BUL45D2/D (141.0kB)")</f>
        <v>BUL45D2/D (141.0kB)</v>
      </c>
      <c r="C360" t="s">
        <v>19</v>
      </c>
      <c r="D360" t="s">
        <v>70</v>
      </c>
      <c r="E360" t="s">
        <v>315</v>
      </c>
      <c r="F360" t="s">
        <v>163</v>
      </c>
      <c r="G360" t="s">
        <v>125</v>
      </c>
      <c r="H360" t="s">
        <v>317</v>
      </c>
      <c r="K360" t="s">
        <v>164</v>
      </c>
      <c r="L360" t="s">
        <v>50</v>
      </c>
      <c r="M360" t="s">
        <v>153</v>
      </c>
      <c r="N360" t="s">
        <v>316</v>
      </c>
    </row>
    <row r="361" spans="1:14" ht="12.75">
      <c r="A361" t="str">
        <f>HYPERLINK("http://www.onsemi.com/PowerSolutions/product.do?id=BUL45G","BUL45G")</f>
        <v>BUL45G</v>
      </c>
      <c r="B361" t="str">
        <f>HYPERLINK("http://www.onsemi.com/pub/Collateral/BUL45-D.PDF","BUL45/D (120.0kB)")</f>
        <v>BUL45/D (120.0kB)</v>
      </c>
      <c r="C361" t="s">
        <v>19</v>
      </c>
      <c r="D361" t="s">
        <v>70</v>
      </c>
      <c r="E361" t="s">
        <v>315</v>
      </c>
      <c r="F361" t="s">
        <v>163</v>
      </c>
      <c r="G361" t="s">
        <v>125</v>
      </c>
      <c r="H361" t="s">
        <v>311</v>
      </c>
      <c r="I361" t="s">
        <v>312</v>
      </c>
      <c r="K361" t="s">
        <v>164</v>
      </c>
      <c r="L361" t="s">
        <v>50</v>
      </c>
      <c r="M361" t="s">
        <v>153</v>
      </c>
      <c r="N361" t="s">
        <v>316</v>
      </c>
    </row>
    <row r="362" spans="1:14" ht="12.75">
      <c r="A362" t="str">
        <f>HYPERLINK("http://www.onsemi.com/PowerSolutions/product.do?id=BUL642D2G","BUL642D2G")</f>
        <v>BUL642D2G</v>
      </c>
      <c r="B362" t="str">
        <f>HYPERLINK("http://www.onsemi.com/pub/Collateral/BUL642D2-D.PDF","BUL642D2/D (95.0kB)")</f>
        <v>BUL642D2/D (95.0kB)</v>
      </c>
      <c r="C362" t="s">
        <v>19</v>
      </c>
      <c r="D362" t="s">
        <v>70</v>
      </c>
      <c r="E362" t="s">
        <v>318</v>
      </c>
      <c r="F362" t="s">
        <v>22</v>
      </c>
      <c r="G362" t="s">
        <v>319</v>
      </c>
      <c r="H362" t="s">
        <v>93</v>
      </c>
      <c r="K362" t="s">
        <v>164</v>
      </c>
      <c r="L362" t="s">
        <v>50</v>
      </c>
      <c r="M362" t="s">
        <v>153</v>
      </c>
      <c r="N362" t="s">
        <v>304</v>
      </c>
    </row>
    <row r="363" spans="1:14" ht="12.75">
      <c r="A363" t="str">
        <f>HYPERLINK("http://www.onsemi.com/PowerSolutions/product.do?id=BUV21","BUV21")</f>
        <v>BUV21</v>
      </c>
      <c r="B363" t="str">
        <f>HYPERLINK("http://www.onsemi.com/pub/Collateral/BUV21-D.PDF","BUV21/D (70.0kB)")</f>
        <v>BUV21/D (70.0kB)</v>
      </c>
      <c r="C363" t="s">
        <v>69</v>
      </c>
      <c r="D363" t="s">
        <v>70</v>
      </c>
      <c r="E363" t="s">
        <v>320</v>
      </c>
      <c r="F363" t="s">
        <v>41</v>
      </c>
      <c r="G363" t="s">
        <v>33</v>
      </c>
      <c r="H363" t="s">
        <v>32</v>
      </c>
      <c r="I363" t="s">
        <v>73</v>
      </c>
      <c r="J363" t="s">
        <v>306</v>
      </c>
      <c r="K363" t="s">
        <v>58</v>
      </c>
      <c r="L363" t="s">
        <v>50</v>
      </c>
      <c r="M363" t="s">
        <v>77</v>
      </c>
      <c r="N363" t="s">
        <v>321</v>
      </c>
    </row>
    <row r="364" spans="1:14" ht="12.75">
      <c r="A364" t="str">
        <f>HYPERLINK("http://www.onsemi.com/PowerSolutions/product.do?id=BUV21G","BUV21G")</f>
        <v>BUV21G</v>
      </c>
      <c r="B364" t="str">
        <f>HYPERLINK("http://www.onsemi.com/pub/Collateral/BUV21-D.PDF","BUV21/D (70.0kB)")</f>
        <v>BUV21/D (70.0kB)</v>
      </c>
      <c r="C364" t="s">
        <v>19</v>
      </c>
      <c r="D364" t="s">
        <v>70</v>
      </c>
      <c r="E364" t="s">
        <v>320</v>
      </c>
      <c r="F364" t="s">
        <v>41</v>
      </c>
      <c r="G364" t="s">
        <v>33</v>
      </c>
      <c r="H364" t="s">
        <v>32</v>
      </c>
      <c r="I364" t="s">
        <v>73</v>
      </c>
      <c r="J364" t="s">
        <v>306</v>
      </c>
      <c r="K364" t="s">
        <v>58</v>
      </c>
      <c r="L364" t="s">
        <v>50</v>
      </c>
      <c r="M364" t="s">
        <v>77</v>
      </c>
      <c r="N364" t="s">
        <v>321</v>
      </c>
    </row>
    <row r="365" spans="1:14" ht="12.75">
      <c r="A365" t="str">
        <f>HYPERLINK("http://www.onsemi.com/PowerSolutions/product.do?id=BUV22G","BUV22G")</f>
        <v>BUV22G</v>
      </c>
      <c r="B365" t="str">
        <f>HYPERLINK("http://www.onsemi.com/pub/Collateral/BUV22-D.PDF","BUV22/D (70.0kB)")</f>
        <v>BUV22/D (70.0kB)</v>
      </c>
      <c r="C365" t="s">
        <v>19</v>
      </c>
      <c r="D365" t="s">
        <v>70</v>
      </c>
      <c r="E365" t="s">
        <v>322</v>
      </c>
      <c r="F365" t="s">
        <v>41</v>
      </c>
      <c r="G365" t="s">
        <v>58</v>
      </c>
      <c r="H365" t="s">
        <v>32</v>
      </c>
      <c r="I365" t="s">
        <v>73</v>
      </c>
      <c r="J365" t="s">
        <v>306</v>
      </c>
      <c r="K365" t="s">
        <v>58</v>
      </c>
      <c r="L365" t="s">
        <v>50</v>
      </c>
      <c r="M365" t="s">
        <v>77</v>
      </c>
      <c r="N365" t="s">
        <v>321</v>
      </c>
    </row>
    <row r="366" spans="1:14" ht="12.75">
      <c r="A366" t="str">
        <f>HYPERLINK("http://www.onsemi.com/PowerSolutions/product.do?id=BUV26G","BUV26G")</f>
        <v>BUV26G</v>
      </c>
      <c r="B366" t="str">
        <f>HYPERLINK("http://www.onsemi.com/pub/Collateral/BUV26-D.PDF","BUV26/D (45.0kB)")</f>
        <v>BUV26/D (45.0kB)</v>
      </c>
      <c r="C366" t="s">
        <v>19</v>
      </c>
      <c r="D366" t="s">
        <v>70</v>
      </c>
      <c r="E366" t="s">
        <v>116</v>
      </c>
      <c r="F366" t="s">
        <v>32</v>
      </c>
      <c r="G366" t="s">
        <v>117</v>
      </c>
      <c r="K366" t="s">
        <v>198</v>
      </c>
      <c r="L366" t="s">
        <v>50</v>
      </c>
      <c r="M366" t="s">
        <v>153</v>
      </c>
      <c r="N366" t="s">
        <v>323</v>
      </c>
    </row>
    <row r="367" spans="1:14" ht="12.75">
      <c r="A367" t="str">
        <f>HYPERLINK("http://www.onsemi.com/PowerSolutions/product.do?id=BUV27G","BUV27G")</f>
        <v>BUV27G</v>
      </c>
      <c r="B367" t="str">
        <f>HYPERLINK("http://www.onsemi.com/pub/Collateral/BUV27.PDF","BUV27/D (52.0kB)")</f>
        <v>BUV27/D (52.0kB)</v>
      </c>
      <c r="C367" t="s">
        <v>19</v>
      </c>
      <c r="D367" t="s">
        <v>70</v>
      </c>
      <c r="E367" t="s">
        <v>324</v>
      </c>
      <c r="F367" t="s">
        <v>325</v>
      </c>
      <c r="G367" t="s">
        <v>24</v>
      </c>
      <c r="K367" t="s">
        <v>74</v>
      </c>
      <c r="L367" t="s">
        <v>50</v>
      </c>
      <c r="M367" t="s">
        <v>153</v>
      </c>
      <c r="N367" t="s">
        <v>165</v>
      </c>
    </row>
    <row r="368" spans="1:14" ht="12.75">
      <c r="A368" t="str">
        <f>HYPERLINK("http://www.onsemi.com/PowerSolutions/product.do?id=BUX85G","BUX85G")</f>
        <v>BUX85G</v>
      </c>
      <c r="B368" t="str">
        <f>HYPERLINK("http://www.onsemi.com/pub/Collateral/BUX85-D.PDF","BUX85/D (64.0kB)")</f>
        <v>BUX85/D (64.0kB)</v>
      </c>
      <c r="C368" t="s">
        <v>19</v>
      </c>
      <c r="D368" t="s">
        <v>70</v>
      </c>
      <c r="E368" t="s">
        <v>326</v>
      </c>
      <c r="F368" t="s">
        <v>26</v>
      </c>
      <c r="G368" t="s">
        <v>65</v>
      </c>
      <c r="H368" t="s">
        <v>86</v>
      </c>
      <c r="J368" t="s">
        <v>94</v>
      </c>
      <c r="K368" t="s">
        <v>120</v>
      </c>
      <c r="L368" t="s">
        <v>50</v>
      </c>
      <c r="M368" t="s">
        <v>153</v>
      </c>
      <c r="N368" t="s">
        <v>327</v>
      </c>
    </row>
    <row r="369" spans="1:14" ht="12.75">
      <c r="A369" t="str">
        <f>HYPERLINK("http://www.onsemi.com/PowerSolutions/product.do?id=D44C12G","D44C12G")</f>
        <v>D44C12G</v>
      </c>
      <c r="B369" t="str">
        <f>HYPERLINK("http://www.onsemi.com/pub/Collateral/D45C12-D.PDF","D45C12/D (73.0kB)")</f>
        <v>D45C12/D (73.0kB)</v>
      </c>
      <c r="C369" t="s">
        <v>19</v>
      </c>
      <c r="D369" t="s">
        <v>70</v>
      </c>
      <c r="E369" t="s">
        <v>130</v>
      </c>
      <c r="F369" t="s">
        <v>94</v>
      </c>
      <c r="G369" t="s">
        <v>111</v>
      </c>
      <c r="H369" t="s">
        <v>41</v>
      </c>
      <c r="I369" t="s">
        <v>24</v>
      </c>
      <c r="K369" t="s">
        <v>86</v>
      </c>
      <c r="L369" t="s">
        <v>50</v>
      </c>
      <c r="M369" t="s">
        <v>153</v>
      </c>
      <c r="N369" t="s">
        <v>328</v>
      </c>
    </row>
    <row r="370" spans="1:14" ht="12.75">
      <c r="A370" t="str">
        <f>HYPERLINK("http://www.onsemi.com/PowerSolutions/product.do?id=D44H11","D44H11")</f>
        <v>D44H11</v>
      </c>
      <c r="B370" t="str">
        <f>HYPERLINK("http://www.onsemi.com/pub/Collateral/D44H-D.PDF","D44H/D (81.0kB)")</f>
        <v>D44H/D (81.0kB)</v>
      </c>
      <c r="C370" t="s">
        <v>69</v>
      </c>
      <c r="D370" t="s">
        <v>70</v>
      </c>
      <c r="E370" t="s">
        <v>288</v>
      </c>
      <c r="F370" t="s">
        <v>79</v>
      </c>
      <c r="G370" t="s">
        <v>111</v>
      </c>
      <c r="H370" t="s">
        <v>32</v>
      </c>
      <c r="K370" t="s">
        <v>120</v>
      </c>
      <c r="L370" t="s">
        <v>50</v>
      </c>
      <c r="M370" t="s">
        <v>153</v>
      </c>
      <c r="N370" t="s">
        <v>278</v>
      </c>
    </row>
    <row r="371" spans="1:14" ht="12.75">
      <c r="A371" t="str">
        <f>HYPERLINK("http://www.onsemi.com/PowerSolutions/product.do?id=D44H11G","D44H11G")</f>
        <v>D44H11G</v>
      </c>
      <c r="B371" t="str">
        <f>HYPERLINK("http://www.onsemi.com/pub/Collateral/D44H-D.PDF","D44H/D (81.0kB)")</f>
        <v>D44H/D (81.0kB)</v>
      </c>
      <c r="C371" t="s">
        <v>19</v>
      </c>
      <c r="D371" t="s">
        <v>70</v>
      </c>
      <c r="E371" t="s">
        <v>288</v>
      </c>
      <c r="F371" t="s">
        <v>79</v>
      </c>
      <c r="G371" t="s">
        <v>111</v>
      </c>
      <c r="H371" t="s">
        <v>32</v>
      </c>
      <c r="K371" t="s">
        <v>120</v>
      </c>
      <c r="L371" t="s">
        <v>50</v>
      </c>
      <c r="M371" t="s">
        <v>153</v>
      </c>
      <c r="N371" t="s">
        <v>154</v>
      </c>
    </row>
    <row r="372" spans="1:14" ht="12.75">
      <c r="A372" t="str">
        <f>HYPERLINK("http://www.onsemi.com/PowerSolutions/product.do?id=D44H8","D44H8")</f>
        <v>D44H8</v>
      </c>
      <c r="B372" t="str">
        <f>HYPERLINK("http://www.onsemi.com/pub/Collateral/D44H-D.PDF","D44H/D (81.0kB)")</f>
        <v>D44H/D (81.0kB)</v>
      </c>
      <c r="C372" t="s">
        <v>69</v>
      </c>
      <c r="D372" t="s">
        <v>70</v>
      </c>
      <c r="E372" t="s">
        <v>329</v>
      </c>
      <c r="F372" t="s">
        <v>79</v>
      </c>
      <c r="G372" t="s">
        <v>73</v>
      </c>
      <c r="H372" t="s">
        <v>41</v>
      </c>
      <c r="K372" t="s">
        <v>120</v>
      </c>
      <c r="L372" t="s">
        <v>50</v>
      </c>
      <c r="M372" t="s">
        <v>153</v>
      </c>
      <c r="N372" t="s">
        <v>278</v>
      </c>
    </row>
    <row r="373" spans="1:14" ht="12.75">
      <c r="A373" t="str">
        <f>HYPERLINK("http://www.onsemi.com/PowerSolutions/product.do?id=D44H8G","D44H8G")</f>
        <v>D44H8G</v>
      </c>
      <c r="B373" t="str">
        <f>HYPERLINK("http://www.onsemi.com/pub/Collateral/D44H-D.PDF","D44H/D (81.0kB)")</f>
        <v>D44H/D (81.0kB)</v>
      </c>
      <c r="C373" t="s">
        <v>19</v>
      </c>
      <c r="D373" t="s">
        <v>70</v>
      </c>
      <c r="E373" t="s">
        <v>329</v>
      </c>
      <c r="F373" t="s">
        <v>79</v>
      </c>
      <c r="G373" t="s">
        <v>73</v>
      </c>
      <c r="H373" t="s">
        <v>41</v>
      </c>
      <c r="K373" t="s">
        <v>120</v>
      </c>
      <c r="L373" t="s">
        <v>50</v>
      </c>
      <c r="M373" t="s">
        <v>153</v>
      </c>
      <c r="N373" t="s">
        <v>154</v>
      </c>
    </row>
    <row r="374" spans="1:14" ht="12.75">
      <c r="A374" t="str">
        <f>HYPERLINK("http://www.onsemi.com/PowerSolutions/product.do?id=D44VH10","D44VH10")</f>
        <v>D44VH10</v>
      </c>
      <c r="B374" t="str">
        <f>HYPERLINK("http://www.onsemi.com/pub/Collateral/D44VH-D.PDF","D44VH/D (84.0kB)")</f>
        <v>D44VH/D (84.0kB)</v>
      </c>
      <c r="C374" t="s">
        <v>69</v>
      </c>
      <c r="D374" t="s">
        <v>70</v>
      </c>
      <c r="E374" t="s">
        <v>166</v>
      </c>
      <c r="F374" t="s">
        <v>72</v>
      </c>
      <c r="G374" t="s">
        <v>111</v>
      </c>
      <c r="H374" t="s">
        <v>32</v>
      </c>
      <c r="K374" t="s">
        <v>330</v>
      </c>
      <c r="L374" t="s">
        <v>50</v>
      </c>
      <c r="M374" t="s">
        <v>153</v>
      </c>
      <c r="N374" t="s">
        <v>278</v>
      </c>
    </row>
    <row r="375" spans="1:14" ht="12.75">
      <c r="A375" t="str">
        <f>HYPERLINK("http://www.onsemi.com/PowerSolutions/product.do?id=D44VH10G","D44VH10G")</f>
        <v>D44VH10G</v>
      </c>
      <c r="B375" t="str">
        <f>HYPERLINK("http://www.onsemi.com/pub/Collateral/D44VH-D.PDF","D44VH/D (84.0kB)")</f>
        <v>D44VH/D (84.0kB)</v>
      </c>
      <c r="C375" t="s">
        <v>19</v>
      </c>
      <c r="D375" t="s">
        <v>70</v>
      </c>
      <c r="E375" t="s">
        <v>166</v>
      </c>
      <c r="F375" t="s">
        <v>72</v>
      </c>
      <c r="G375" t="s">
        <v>111</v>
      </c>
      <c r="H375" t="s">
        <v>32</v>
      </c>
      <c r="K375" t="s">
        <v>330</v>
      </c>
      <c r="L375" t="s">
        <v>50</v>
      </c>
      <c r="M375" t="s">
        <v>153</v>
      </c>
      <c r="N375" t="s">
        <v>154</v>
      </c>
    </row>
    <row r="376" spans="1:14" ht="12.75">
      <c r="A376" t="str">
        <f>HYPERLINK("http://www.onsemi.com/PowerSolutions/product.do?id=D45C12G","D45C12G")</f>
        <v>D45C12G</v>
      </c>
      <c r="B376" t="str">
        <f>HYPERLINK("http://www.onsemi.com/pub/Collateral/D45C12-D.PDF","D45C12/D (73.0kB)")</f>
        <v>D45C12/D (73.0kB)</v>
      </c>
      <c r="C376" t="s">
        <v>19</v>
      </c>
      <c r="D376" t="s">
        <v>70</v>
      </c>
      <c r="E376" t="s">
        <v>132</v>
      </c>
      <c r="F376" t="s">
        <v>94</v>
      </c>
      <c r="G376" t="s">
        <v>111</v>
      </c>
      <c r="H376" t="s">
        <v>41</v>
      </c>
      <c r="I376" t="s">
        <v>24</v>
      </c>
      <c r="K376" t="s">
        <v>86</v>
      </c>
      <c r="L376" t="s">
        <v>59</v>
      </c>
      <c r="M376" t="s">
        <v>153</v>
      </c>
      <c r="N376" t="s">
        <v>328</v>
      </c>
    </row>
    <row r="377" spans="1:14" ht="12.75">
      <c r="A377" t="str">
        <f>HYPERLINK("http://www.onsemi.com/PowerSolutions/product.do?id=D45H11","D45H11")</f>
        <v>D45H11</v>
      </c>
      <c r="B377" t="str">
        <f>HYPERLINK("http://www.onsemi.com/pub/Collateral/D44H-D.PDF","D44H/D (81.0kB)")</f>
        <v>D44H/D (81.0kB)</v>
      </c>
      <c r="C377" t="s">
        <v>69</v>
      </c>
      <c r="D377" t="s">
        <v>70</v>
      </c>
      <c r="E377" t="s">
        <v>289</v>
      </c>
      <c r="F377" t="s">
        <v>79</v>
      </c>
      <c r="G377" t="s">
        <v>111</v>
      </c>
      <c r="H377" t="s">
        <v>41</v>
      </c>
      <c r="K377" t="s">
        <v>120</v>
      </c>
      <c r="L377" t="s">
        <v>59</v>
      </c>
      <c r="M377" t="s">
        <v>153</v>
      </c>
      <c r="N377" t="s">
        <v>278</v>
      </c>
    </row>
    <row r="378" spans="1:14" ht="12.75">
      <c r="A378" t="str">
        <f>HYPERLINK("http://www.onsemi.com/PowerSolutions/product.do?id=D45H11G","D45H11G")</f>
        <v>D45H11G</v>
      </c>
      <c r="B378" t="str">
        <f>HYPERLINK("http://www.onsemi.com/pub/Collateral/D44H-D.PDF","D44H/D (81.0kB)")</f>
        <v>D44H/D (81.0kB)</v>
      </c>
      <c r="C378" t="s">
        <v>19</v>
      </c>
      <c r="D378" t="s">
        <v>70</v>
      </c>
      <c r="E378" t="s">
        <v>289</v>
      </c>
      <c r="F378" t="s">
        <v>79</v>
      </c>
      <c r="G378" t="s">
        <v>111</v>
      </c>
      <c r="H378" t="s">
        <v>41</v>
      </c>
      <c r="K378" t="s">
        <v>120</v>
      </c>
      <c r="L378" t="s">
        <v>59</v>
      </c>
      <c r="M378" t="s">
        <v>153</v>
      </c>
      <c r="N378" t="s">
        <v>278</v>
      </c>
    </row>
    <row r="379" spans="1:14" ht="12.75">
      <c r="A379" t="str">
        <f>HYPERLINK("http://www.onsemi.com/PowerSolutions/product.do?id=D45H8","D45H8")</f>
        <v>D45H8</v>
      </c>
      <c r="B379" t="str">
        <f>HYPERLINK("http://www.onsemi.com/pub/Collateral/D44H-D.PDF","D44H/D (81.0kB)")</f>
        <v>D44H/D (81.0kB)</v>
      </c>
      <c r="C379" t="s">
        <v>69</v>
      </c>
      <c r="D379" t="s">
        <v>70</v>
      </c>
      <c r="E379" t="s">
        <v>331</v>
      </c>
      <c r="F379" t="s">
        <v>79</v>
      </c>
      <c r="G379" t="s">
        <v>73</v>
      </c>
      <c r="H379" t="s">
        <v>41</v>
      </c>
      <c r="K379" t="s">
        <v>120</v>
      </c>
      <c r="L379" t="s">
        <v>59</v>
      </c>
      <c r="M379" t="s">
        <v>153</v>
      </c>
      <c r="N379" t="s">
        <v>278</v>
      </c>
    </row>
    <row r="380" spans="1:14" ht="12.75">
      <c r="A380" t="str">
        <f>HYPERLINK("http://www.onsemi.com/PowerSolutions/product.do?id=D45H8G","D45H8G")</f>
        <v>D45H8G</v>
      </c>
      <c r="B380" t="str">
        <f>HYPERLINK("http://www.onsemi.com/pub/Collateral/D44H-D.PDF","D44H/D (81.0kB)")</f>
        <v>D44H/D (81.0kB)</v>
      </c>
      <c r="C380" t="s">
        <v>19</v>
      </c>
      <c r="D380" t="s">
        <v>70</v>
      </c>
      <c r="E380" t="s">
        <v>331</v>
      </c>
      <c r="F380" t="s">
        <v>79</v>
      </c>
      <c r="G380" t="s">
        <v>73</v>
      </c>
      <c r="H380" t="s">
        <v>41</v>
      </c>
      <c r="K380" t="s">
        <v>120</v>
      </c>
      <c r="L380" t="s">
        <v>59</v>
      </c>
      <c r="M380" t="s">
        <v>153</v>
      </c>
      <c r="N380" t="s">
        <v>278</v>
      </c>
    </row>
    <row r="381" spans="1:14" ht="12.75">
      <c r="A381" t="str">
        <f>HYPERLINK("http://www.onsemi.com/PowerSolutions/product.do?id=D45VH10","D45VH10")</f>
        <v>D45VH10</v>
      </c>
      <c r="B381" t="str">
        <f>HYPERLINK("http://www.onsemi.com/pub/Collateral/D44VH-D.PDF","D44VH/D (84.0kB)")</f>
        <v>D44VH/D (84.0kB)</v>
      </c>
      <c r="C381" t="s">
        <v>69</v>
      </c>
      <c r="D381" t="s">
        <v>70</v>
      </c>
      <c r="E381" t="s">
        <v>170</v>
      </c>
      <c r="F381" t="s">
        <v>72</v>
      </c>
      <c r="G381" t="s">
        <v>111</v>
      </c>
      <c r="H381" t="s">
        <v>32</v>
      </c>
      <c r="K381" t="s">
        <v>330</v>
      </c>
      <c r="L381" t="s">
        <v>59</v>
      </c>
      <c r="M381" t="s">
        <v>153</v>
      </c>
      <c r="N381" t="s">
        <v>100</v>
      </c>
    </row>
    <row r="382" spans="1:14" ht="12.75">
      <c r="A382" t="str">
        <f>HYPERLINK("http://www.onsemi.com/PowerSolutions/product.do?id=D45VH10G","D45VH10G")</f>
        <v>D45VH10G</v>
      </c>
      <c r="B382" t="str">
        <f>HYPERLINK("http://www.onsemi.com/pub/Collateral/D44VH-D.PDF","D44VH/D (84.0kB)")</f>
        <v>D44VH/D (84.0kB)</v>
      </c>
      <c r="C382" t="s">
        <v>19</v>
      </c>
      <c r="D382" t="s">
        <v>70</v>
      </c>
      <c r="E382" t="s">
        <v>170</v>
      </c>
      <c r="F382" t="s">
        <v>72</v>
      </c>
      <c r="G382" t="s">
        <v>111</v>
      </c>
      <c r="H382" t="s">
        <v>32</v>
      </c>
      <c r="K382" t="s">
        <v>330</v>
      </c>
      <c r="L382" t="s">
        <v>59</v>
      </c>
      <c r="M382" t="s">
        <v>153</v>
      </c>
      <c r="N382" t="s">
        <v>332</v>
      </c>
    </row>
    <row r="383" spans="1:14" ht="12.75">
      <c r="A383" t="str">
        <f>HYPERLINK("http://www.onsemi.com/PowerSolutions/product.do?id=EMT1DXV6T1G","EMT1DXV6T1G")</f>
        <v>EMT1DXV6T1G</v>
      </c>
      <c r="B383" t="str">
        <f>HYPERLINK("http://www.onsemi.com/pub/Collateral/EMT1DXV6T1-D.PDF","EMT1DXV6T1/D (51.0kB)")</f>
        <v>EMT1DXV6T1/D (51.0kB)</v>
      </c>
      <c r="C383" t="s">
        <v>19</v>
      </c>
      <c r="D383" t="s">
        <v>70</v>
      </c>
      <c r="E383" t="s">
        <v>333</v>
      </c>
      <c r="F383" t="s">
        <v>63</v>
      </c>
      <c r="G383" t="s">
        <v>120</v>
      </c>
      <c r="H383" t="s">
        <v>24</v>
      </c>
      <c r="I383" t="s">
        <v>179</v>
      </c>
      <c r="K383" t="s">
        <v>234</v>
      </c>
      <c r="L383" t="s">
        <v>59</v>
      </c>
      <c r="M383" t="s">
        <v>231</v>
      </c>
      <c r="N383" t="s">
        <v>56</v>
      </c>
    </row>
    <row r="384" spans="1:14" ht="12.75">
      <c r="A384" t="str">
        <f>HYPERLINK("http://www.onsemi.com/PowerSolutions/product.do?id=EMT1DXV6T5G","EMT1DXV6T5G")</f>
        <v>EMT1DXV6T5G</v>
      </c>
      <c r="B384" t="str">
        <f>HYPERLINK("http://www.onsemi.com/pub/Collateral/EMT1DXV6T1-D.PDF","EMT1DXV6T1/D (51.0kB)")</f>
        <v>EMT1DXV6T1/D (51.0kB)</v>
      </c>
      <c r="C384" t="s">
        <v>19</v>
      </c>
      <c r="D384" t="s">
        <v>70</v>
      </c>
      <c r="E384" t="s">
        <v>333</v>
      </c>
      <c r="F384" t="s">
        <v>63</v>
      </c>
      <c r="G384" t="s">
        <v>120</v>
      </c>
      <c r="H384" t="s">
        <v>24</v>
      </c>
      <c r="I384" t="s">
        <v>179</v>
      </c>
      <c r="K384" t="s">
        <v>234</v>
      </c>
      <c r="L384" t="s">
        <v>59</v>
      </c>
      <c r="M384" t="s">
        <v>231</v>
      </c>
      <c r="N384" t="s">
        <v>56</v>
      </c>
    </row>
    <row r="385" spans="1:14" ht="12.75">
      <c r="A385" t="str">
        <f>HYPERLINK("http://www.onsemi.com/PowerSolutions/product.do?id=EMX1DXV6T1G","EMX1DXV6T1G")</f>
        <v>EMX1DXV6T1G</v>
      </c>
      <c r="B385" t="str">
        <f>HYPERLINK("http://www.onsemi.com/pub/Collateral/EMX1DXV6T1-D.PDF","EMX1DXV6T1/D (51.0kB)")</f>
        <v>EMX1DXV6T1/D (51.0kB)</v>
      </c>
      <c r="C385" t="s">
        <v>19</v>
      </c>
      <c r="D385" t="s">
        <v>70</v>
      </c>
      <c r="E385" t="s">
        <v>334</v>
      </c>
      <c r="F385" t="s">
        <v>63</v>
      </c>
      <c r="G385" t="s">
        <v>120</v>
      </c>
      <c r="H385" t="s">
        <v>24</v>
      </c>
      <c r="I385" t="s">
        <v>179</v>
      </c>
      <c r="K385" t="s">
        <v>234</v>
      </c>
      <c r="L385" t="s">
        <v>50</v>
      </c>
      <c r="M385" t="s">
        <v>231</v>
      </c>
      <c r="N385" t="s">
        <v>56</v>
      </c>
    </row>
    <row r="386" spans="1:14" ht="12.75">
      <c r="A386" t="str">
        <f>HYPERLINK("http://www.onsemi.com/PowerSolutions/product.do?id=EMX1DXV6T5G","EMX1DXV6T5G")</f>
        <v>EMX1DXV6T5G</v>
      </c>
      <c r="B386" t="str">
        <f>HYPERLINK("http://www.onsemi.com/pub/Collateral/EMX1DXV6T1-D.PDF","EMX1DXV6T1/D (51.0kB)")</f>
        <v>EMX1DXV6T1/D (51.0kB)</v>
      </c>
      <c r="C386" t="s">
        <v>19</v>
      </c>
      <c r="D386" t="s">
        <v>70</v>
      </c>
      <c r="E386" t="s">
        <v>334</v>
      </c>
      <c r="F386" t="s">
        <v>63</v>
      </c>
      <c r="G386" t="s">
        <v>120</v>
      </c>
      <c r="H386" t="s">
        <v>24</v>
      </c>
      <c r="I386" t="s">
        <v>179</v>
      </c>
      <c r="K386" t="s">
        <v>234</v>
      </c>
      <c r="L386" t="s">
        <v>50</v>
      </c>
      <c r="M386" t="s">
        <v>231</v>
      </c>
      <c r="N386" t="s">
        <v>56</v>
      </c>
    </row>
    <row r="387" spans="1:14" ht="12.75">
      <c r="A387" t="str">
        <f>HYPERLINK("http://www.onsemi.com/PowerSolutions/product.do?id=EMX2DXV6T5G","EMX2DXV6T5G")</f>
        <v>EMX2DXV6T5G</v>
      </c>
      <c r="B387" t="str">
        <f>HYPERLINK("http://www.onsemi.com/pub/Collateral/EMX2DXV6T5-D.PDF","EMX2DXV6T5/D (121.0kB)")</f>
        <v>EMX2DXV6T5/D (121.0kB)</v>
      </c>
      <c r="C387" t="s">
        <v>19</v>
      </c>
      <c r="D387" t="s">
        <v>70</v>
      </c>
      <c r="E387" t="s">
        <v>334</v>
      </c>
      <c r="F387" t="s">
        <v>63</v>
      </c>
      <c r="G387" t="s">
        <v>120</v>
      </c>
      <c r="H387" t="s">
        <v>24</v>
      </c>
      <c r="I387" t="s">
        <v>179</v>
      </c>
      <c r="K387" t="s">
        <v>234</v>
      </c>
      <c r="L387" t="s">
        <v>50</v>
      </c>
      <c r="M387" t="s">
        <v>231</v>
      </c>
      <c r="N387" t="s">
        <v>56</v>
      </c>
    </row>
    <row r="388" spans="1:14" ht="12.75">
      <c r="A388" t="str">
        <f>HYPERLINK("http://www.onsemi.com/PowerSolutions/product.do?id=EMZ1DXV6T5G","EMZ1DXV6T5G")</f>
        <v>EMZ1DXV6T5G</v>
      </c>
      <c r="B388" t="str">
        <f>HYPERLINK("http://www.onsemi.com/pub/Collateral/EMZ1DXV6-D.PDF","EMZ1DXV6/D (59.0kB)")</f>
        <v>EMZ1DXV6/D (59.0kB)</v>
      </c>
      <c r="C388" t="s">
        <v>19</v>
      </c>
      <c r="D388" t="s">
        <v>70</v>
      </c>
      <c r="E388" t="s">
        <v>335</v>
      </c>
      <c r="F388" t="s">
        <v>63</v>
      </c>
      <c r="G388" t="s">
        <v>120</v>
      </c>
      <c r="H388" t="s">
        <v>24</v>
      </c>
      <c r="I388" t="s">
        <v>179</v>
      </c>
      <c r="K388" t="s">
        <v>234</v>
      </c>
      <c r="L388" t="s">
        <v>224</v>
      </c>
      <c r="M388" t="s">
        <v>231</v>
      </c>
      <c r="N388" t="s">
        <v>56</v>
      </c>
    </row>
    <row r="389" spans="1:14" ht="12.75">
      <c r="A389" t="str">
        <f>HYPERLINK("http://www.onsemi.com/PowerSolutions/product.do?id=HN1B01FDW1T1G","HN1B01FDW1T1G")</f>
        <v>HN1B01FDW1T1G</v>
      </c>
      <c r="B389" t="str">
        <f>HYPERLINK("http://www.onsemi.com/pub/Collateral/HN1B01FDW1T1-D.PDF","HN1B01FDW1T1/D (52.0kB)")</f>
        <v>HN1B01FDW1T1/D (52.0kB)</v>
      </c>
      <c r="C389" t="s">
        <v>19</v>
      </c>
      <c r="D389" t="s">
        <v>70</v>
      </c>
      <c r="E389" t="s">
        <v>223</v>
      </c>
      <c r="F389" t="s">
        <v>47</v>
      </c>
      <c r="G389" t="s">
        <v>120</v>
      </c>
      <c r="H389" t="s">
        <v>33</v>
      </c>
      <c r="I389" t="s">
        <v>125</v>
      </c>
      <c r="K389" t="s">
        <v>219</v>
      </c>
      <c r="L389" t="s">
        <v>224</v>
      </c>
      <c r="M389" t="s">
        <v>336</v>
      </c>
      <c r="N389" t="s">
        <v>337</v>
      </c>
    </row>
    <row r="390" spans="1:14" ht="12.75">
      <c r="A390" t="str">
        <f>HYPERLINK("http://www.onsemi.com/PowerSolutions/product.do?id=MBT2222ADW1T1G","MBT2222ADW1T1G")</f>
        <v>MBT2222ADW1T1G</v>
      </c>
      <c r="B390" t="str">
        <f>HYPERLINK("http://www.onsemi.com/pub/Collateral/MBT2222ADW1T1-D.PDF","MBT2222ADW1T1/D (119.0kB)")</f>
        <v>MBT2222ADW1T1/D (119.0kB)</v>
      </c>
      <c r="C390" t="s">
        <v>19</v>
      </c>
      <c r="D390" t="s">
        <v>70</v>
      </c>
      <c r="E390" t="s">
        <v>218</v>
      </c>
      <c r="F390" t="s">
        <v>104</v>
      </c>
      <c r="G390" t="s">
        <v>41</v>
      </c>
      <c r="H390" t="s">
        <v>23</v>
      </c>
      <c r="I390" t="s">
        <v>48</v>
      </c>
      <c r="J390" t="s">
        <v>48</v>
      </c>
      <c r="K390" t="s">
        <v>180</v>
      </c>
      <c r="L390" t="s">
        <v>50</v>
      </c>
      <c r="M390" t="s">
        <v>220</v>
      </c>
      <c r="N390" t="s">
        <v>209</v>
      </c>
    </row>
    <row r="391" spans="1:14" ht="12.75">
      <c r="A391" t="str">
        <f>HYPERLINK("http://www.onsemi.com/PowerSolutions/product.do?id=MBT3904DW1T1","MBT3904DW1T1")</f>
        <v>MBT3904DW1T1</v>
      </c>
      <c r="B391" t="str">
        <f>HYPERLINK("http://www.onsemi.com/pub/Collateral/MBT3904DW1T1-D.PDF","MBT3904DW1T1/D (105.0kB)")</f>
        <v>MBT3904DW1T1/D (105.0kB)</v>
      </c>
      <c r="C391" t="s">
        <v>69</v>
      </c>
      <c r="D391" t="s">
        <v>70</v>
      </c>
      <c r="E391" t="s">
        <v>218</v>
      </c>
      <c r="F391" t="s">
        <v>47</v>
      </c>
      <c r="G391" t="s">
        <v>41</v>
      </c>
      <c r="H391" t="s">
        <v>23</v>
      </c>
      <c r="I391" t="s">
        <v>48</v>
      </c>
      <c r="J391" t="s">
        <v>48</v>
      </c>
      <c r="K391" t="s">
        <v>180</v>
      </c>
      <c r="L391" t="s">
        <v>50</v>
      </c>
      <c r="M391" t="s">
        <v>220</v>
      </c>
      <c r="N391" t="s">
        <v>100</v>
      </c>
    </row>
    <row r="392" spans="1:14" ht="12.75">
      <c r="A392" t="str">
        <f>HYPERLINK("http://www.onsemi.com/PowerSolutions/product.do?id=MBT3904DW1T1G","MBT3904DW1T1G")</f>
        <v>MBT3904DW1T1G</v>
      </c>
      <c r="B392" t="str">
        <f>HYPERLINK("http://www.onsemi.com/pub/Collateral/MBT3904DW1T1-D.PDF","MBT3904DW1T1/D (105.0kB)")</f>
        <v>MBT3904DW1T1/D (105.0kB)</v>
      </c>
      <c r="C392" t="s">
        <v>19</v>
      </c>
      <c r="D392" t="s">
        <v>70</v>
      </c>
      <c r="E392" t="s">
        <v>218</v>
      </c>
      <c r="F392" t="s">
        <v>47</v>
      </c>
      <c r="G392" t="s">
        <v>41</v>
      </c>
      <c r="H392" t="s">
        <v>23</v>
      </c>
      <c r="I392" t="s">
        <v>48</v>
      </c>
      <c r="J392" t="s">
        <v>48</v>
      </c>
      <c r="K392" t="s">
        <v>180</v>
      </c>
      <c r="L392" t="s">
        <v>50</v>
      </c>
      <c r="M392" t="s">
        <v>220</v>
      </c>
      <c r="N392" t="s">
        <v>338</v>
      </c>
    </row>
    <row r="393" spans="1:14" ht="12.75">
      <c r="A393" t="str">
        <f>HYPERLINK("http://www.onsemi.com/PowerSolutions/product.do?id=MBT3904DW1T3G","MBT3904DW1T3G")</f>
        <v>MBT3904DW1T3G</v>
      </c>
      <c r="B393" t="str">
        <f>HYPERLINK("http://www.onsemi.com/pub/Collateral/MBT3904DW1T1-D.PDF","MBT3904DW1T1/D (105.0kB)")</f>
        <v>MBT3904DW1T1/D (105.0kB)</v>
      </c>
      <c r="C393" t="s">
        <v>19</v>
      </c>
      <c r="D393" t="s">
        <v>70</v>
      </c>
      <c r="E393" t="s">
        <v>218</v>
      </c>
      <c r="F393" t="s">
        <v>47</v>
      </c>
      <c r="G393" t="s">
        <v>41</v>
      </c>
      <c r="H393" t="s">
        <v>23</v>
      </c>
      <c r="I393" t="s">
        <v>48</v>
      </c>
      <c r="J393" t="s">
        <v>48</v>
      </c>
      <c r="K393" t="s">
        <v>180</v>
      </c>
      <c r="L393" t="s">
        <v>50</v>
      </c>
      <c r="M393" t="s">
        <v>220</v>
      </c>
      <c r="N393" t="s">
        <v>100</v>
      </c>
    </row>
    <row r="394" spans="1:14" ht="12.75">
      <c r="A394" t="str">
        <f>HYPERLINK("http://www.onsemi.com/PowerSolutions/product.do?id=MBT3906DW1T1","MBT3906DW1T1")</f>
        <v>MBT3906DW1T1</v>
      </c>
      <c r="B394" t="str">
        <f>HYPERLINK("http://www.onsemi.com/pub/Collateral/MBT3906DW1T1-D.PDF","MBT3906DW1T1/D (99.0kB)")</f>
        <v>MBT3906DW1T1/D (99.0kB)</v>
      </c>
      <c r="C394" t="s">
        <v>69</v>
      </c>
      <c r="D394" t="s">
        <v>70</v>
      </c>
      <c r="E394" t="s">
        <v>241</v>
      </c>
      <c r="F394" t="s">
        <v>47</v>
      </c>
      <c r="G394" t="s">
        <v>41</v>
      </c>
      <c r="H394" t="s">
        <v>23</v>
      </c>
      <c r="I394" t="s">
        <v>48</v>
      </c>
      <c r="J394" t="s">
        <v>58</v>
      </c>
      <c r="K394" t="s">
        <v>180</v>
      </c>
      <c r="L394" t="s">
        <v>59</v>
      </c>
      <c r="M394" t="s">
        <v>220</v>
      </c>
      <c r="N394" t="s">
        <v>56</v>
      </c>
    </row>
    <row r="395" spans="1:14" ht="12.75">
      <c r="A395" t="str">
        <f>HYPERLINK("http://www.onsemi.com/PowerSolutions/product.do?id=MBT3906DW1T1G","MBT3906DW1T1G")</f>
        <v>MBT3906DW1T1G</v>
      </c>
      <c r="B395" t="str">
        <f>HYPERLINK("http://www.onsemi.com/pub/Collateral/MBT3906DW1T1-D.PDF","MBT3906DW1T1/D (99.0kB)")</f>
        <v>MBT3906DW1T1/D (99.0kB)</v>
      </c>
      <c r="C395" t="s">
        <v>19</v>
      </c>
      <c r="D395" t="s">
        <v>70</v>
      </c>
      <c r="E395" t="s">
        <v>241</v>
      </c>
      <c r="F395" t="s">
        <v>47</v>
      </c>
      <c r="G395" t="s">
        <v>41</v>
      </c>
      <c r="H395" t="s">
        <v>23</v>
      </c>
      <c r="I395" t="s">
        <v>48</v>
      </c>
      <c r="J395" t="s">
        <v>58</v>
      </c>
      <c r="K395" t="s">
        <v>180</v>
      </c>
      <c r="L395" t="s">
        <v>59</v>
      </c>
      <c r="M395" t="s">
        <v>220</v>
      </c>
      <c r="N395" t="s">
        <v>56</v>
      </c>
    </row>
    <row r="396" spans="1:14" ht="12.75">
      <c r="A396" t="str">
        <f>HYPERLINK("http://www.onsemi.com/PowerSolutions/product.do?id=MBT3946DW1T1","MBT3946DW1T1")</f>
        <v>MBT3946DW1T1</v>
      </c>
      <c r="B396" t="str">
        <f>HYPERLINK("http://www.onsemi.com/pub/Collateral/MBT3946DW1T1-D.PDF","MBT3946DW1T1/D (133.0kB)")</f>
        <v>MBT3946DW1T1/D (133.0kB)</v>
      </c>
      <c r="C396" t="s">
        <v>69</v>
      </c>
      <c r="D396" t="s">
        <v>70</v>
      </c>
      <c r="E396" t="s">
        <v>339</v>
      </c>
      <c r="F396" t="s">
        <v>47</v>
      </c>
      <c r="G396" t="s">
        <v>41</v>
      </c>
      <c r="H396" t="s">
        <v>23</v>
      </c>
      <c r="I396" t="s">
        <v>48</v>
      </c>
      <c r="J396" t="s">
        <v>58</v>
      </c>
      <c r="K396" t="s">
        <v>180</v>
      </c>
      <c r="L396" t="s">
        <v>224</v>
      </c>
      <c r="M396" t="s">
        <v>220</v>
      </c>
      <c r="N396" t="s">
        <v>56</v>
      </c>
    </row>
    <row r="397" spans="1:14" ht="12.75">
      <c r="A397" t="str">
        <f>HYPERLINK("http://www.onsemi.com/PowerSolutions/product.do?id=MBT3946DW1T1G","MBT3946DW1T1G")</f>
        <v>MBT3946DW1T1G</v>
      </c>
      <c r="B397" t="str">
        <f>HYPERLINK("http://www.onsemi.com/pub/Collateral/MBT3946DW1T1-D.PDF","MBT3946DW1T1/D (133.0kB)")</f>
        <v>MBT3946DW1T1/D (133.0kB)</v>
      </c>
      <c r="C397" t="s">
        <v>19</v>
      </c>
      <c r="D397" t="s">
        <v>70</v>
      </c>
      <c r="E397" t="s">
        <v>223</v>
      </c>
      <c r="F397" t="s">
        <v>47</v>
      </c>
      <c r="G397" t="s">
        <v>41</v>
      </c>
      <c r="H397" t="s">
        <v>23</v>
      </c>
      <c r="I397" t="s">
        <v>48</v>
      </c>
      <c r="J397" t="s">
        <v>58</v>
      </c>
      <c r="K397" t="s">
        <v>180</v>
      </c>
      <c r="L397" t="s">
        <v>224</v>
      </c>
      <c r="M397" t="s">
        <v>220</v>
      </c>
      <c r="N397" t="s">
        <v>56</v>
      </c>
    </row>
    <row r="398" spans="1:14" ht="12.75">
      <c r="A398" t="str">
        <f>HYPERLINK("http://www.onsemi.com/PowerSolutions/product.do?id=MBT3946DW1T2G","MBT3946DW1T2G")</f>
        <v>MBT3946DW1T2G</v>
      </c>
      <c r="B398" t="str">
        <f>HYPERLINK("http://www.onsemi.com/pub/Collateral/MBT3946DW1T1-D.PDF","MBT3946DW1T1/D (133.0kB)")</f>
        <v>MBT3946DW1T1/D (133.0kB)</v>
      </c>
      <c r="C398" t="s">
        <v>19</v>
      </c>
      <c r="D398" t="s">
        <v>70</v>
      </c>
      <c r="E398" t="s">
        <v>223</v>
      </c>
      <c r="F398" t="s">
        <v>47</v>
      </c>
      <c r="G398" t="s">
        <v>41</v>
      </c>
      <c r="H398" t="s">
        <v>23</v>
      </c>
      <c r="I398" t="s">
        <v>48</v>
      </c>
      <c r="J398" t="s">
        <v>58</v>
      </c>
      <c r="K398" t="s">
        <v>180</v>
      </c>
      <c r="L398" t="s">
        <v>224</v>
      </c>
      <c r="M398" t="s">
        <v>220</v>
      </c>
      <c r="N398" t="s">
        <v>56</v>
      </c>
    </row>
    <row r="399" spans="1:14" ht="12.75">
      <c r="A399" t="str">
        <f>HYPERLINK("http://www.onsemi.com/PowerSolutions/product.do?id=MBT6429DW1T1G","MBT6429DW1T1G")</f>
        <v>MBT6429DW1T1G</v>
      </c>
      <c r="B399" t="str">
        <f>HYPERLINK("http://www.onsemi.com/pub/Collateral/MBT6429DW1T1.PDF","MBT6429DW1T1/D (79.0kB)")</f>
        <v>MBT6429DW1T1/D (79.0kB)</v>
      </c>
      <c r="C399" t="s">
        <v>19</v>
      </c>
      <c r="D399" t="s">
        <v>70</v>
      </c>
      <c r="E399" t="s">
        <v>340</v>
      </c>
      <c r="F399" t="s">
        <v>47</v>
      </c>
      <c r="G399" t="s">
        <v>64</v>
      </c>
      <c r="H399" t="s">
        <v>34</v>
      </c>
      <c r="I399" t="s">
        <v>341</v>
      </c>
      <c r="J399" t="s">
        <v>23</v>
      </c>
      <c r="K399" t="s">
        <v>180</v>
      </c>
      <c r="L399" t="s">
        <v>50</v>
      </c>
      <c r="M399" t="s">
        <v>220</v>
      </c>
      <c r="N399" t="s">
        <v>209</v>
      </c>
    </row>
    <row r="400" spans="1:14" ht="12.75">
      <c r="A400" t="str">
        <f>HYPERLINK("http://www.onsemi.com/PowerSolutions/product.do?id=MJ14001G","MJ14001G")</f>
        <v>MJ14001G</v>
      </c>
      <c r="B400" t="str">
        <f>HYPERLINK("http://www.onsemi.com/pub/Collateral/MJ14001-D.PDF","MJ14001/D (90.0kB)")</f>
        <v>MJ14001/D (90.0kB)</v>
      </c>
      <c r="C400" t="s">
        <v>19</v>
      </c>
      <c r="D400" t="s">
        <v>70</v>
      </c>
      <c r="E400" t="s">
        <v>342</v>
      </c>
      <c r="F400" t="s">
        <v>73</v>
      </c>
      <c r="G400" t="s">
        <v>73</v>
      </c>
      <c r="H400" t="s">
        <v>72</v>
      </c>
      <c r="I400" t="s">
        <v>23</v>
      </c>
      <c r="K400" t="s">
        <v>48</v>
      </c>
      <c r="L400" t="s">
        <v>59</v>
      </c>
      <c r="M400" t="s">
        <v>77</v>
      </c>
      <c r="N400" t="s">
        <v>343</v>
      </c>
    </row>
    <row r="401" spans="1:14" ht="12.75">
      <c r="A401" t="str">
        <f>HYPERLINK("http://www.onsemi.com/PowerSolutions/product.do?id=MJ14002","MJ14002")</f>
        <v>MJ14002</v>
      </c>
      <c r="B401" t="str">
        <f>HYPERLINK("http://www.onsemi.com/pub/Collateral/MJ14001-D.PDF","MJ14001/D (90.0kB)")</f>
        <v>MJ14001/D (90.0kB)</v>
      </c>
      <c r="C401" t="s">
        <v>69</v>
      </c>
      <c r="D401" t="s">
        <v>70</v>
      </c>
      <c r="E401" t="s">
        <v>344</v>
      </c>
      <c r="F401" t="s">
        <v>73</v>
      </c>
      <c r="G401" t="s">
        <v>111</v>
      </c>
      <c r="H401" t="s">
        <v>72</v>
      </c>
      <c r="I401" t="s">
        <v>23</v>
      </c>
      <c r="K401" t="s">
        <v>48</v>
      </c>
      <c r="L401" t="s">
        <v>50</v>
      </c>
      <c r="M401" t="s">
        <v>77</v>
      </c>
      <c r="N401" t="s">
        <v>145</v>
      </c>
    </row>
    <row r="402" spans="1:14" ht="12.75">
      <c r="A402" t="str">
        <f>HYPERLINK("http://www.onsemi.com/PowerSolutions/product.do?id=MJ14002G","MJ14002G")</f>
        <v>MJ14002G</v>
      </c>
      <c r="B402" t="str">
        <f>HYPERLINK("http://www.onsemi.com/pub/Collateral/MJ14001-D.PDF","MJ14001/D (90.0kB)")</f>
        <v>MJ14001/D (90.0kB)</v>
      </c>
      <c r="C402" t="s">
        <v>19</v>
      </c>
      <c r="D402" t="s">
        <v>70</v>
      </c>
      <c r="E402" t="s">
        <v>344</v>
      </c>
      <c r="F402" t="s">
        <v>73</v>
      </c>
      <c r="G402" t="s">
        <v>111</v>
      </c>
      <c r="H402" t="s">
        <v>72</v>
      </c>
      <c r="I402" t="s">
        <v>23</v>
      </c>
      <c r="K402" t="s">
        <v>48</v>
      </c>
      <c r="L402" t="s">
        <v>50</v>
      </c>
      <c r="M402" t="s">
        <v>77</v>
      </c>
      <c r="N402" t="s">
        <v>145</v>
      </c>
    </row>
    <row r="403" spans="1:14" ht="12.75">
      <c r="A403" t="str">
        <f>HYPERLINK("http://www.onsemi.com/PowerSolutions/product.do?id=MJ2955","MJ2955")</f>
        <v>MJ2955</v>
      </c>
      <c r="B403" t="str">
        <f>HYPERLINK("http://www.onsemi.com/pub/Collateral/2N3055-D.PDF","2N3055/D (70.0kB)")</f>
        <v>2N3055/D (70.0kB)</v>
      </c>
      <c r="C403" t="s">
        <v>69</v>
      </c>
      <c r="D403" t="s">
        <v>70</v>
      </c>
      <c r="E403" t="s">
        <v>168</v>
      </c>
      <c r="F403" t="s">
        <v>72</v>
      </c>
      <c r="G403" t="s">
        <v>73</v>
      </c>
      <c r="H403" t="s">
        <v>32</v>
      </c>
      <c r="I403" t="s">
        <v>74</v>
      </c>
      <c r="J403" t="s">
        <v>75</v>
      </c>
      <c r="K403" t="s">
        <v>76</v>
      </c>
      <c r="L403" t="s">
        <v>59</v>
      </c>
      <c r="M403" t="s">
        <v>77</v>
      </c>
      <c r="N403" t="s">
        <v>345</v>
      </c>
    </row>
    <row r="404" spans="1:14" ht="12.75">
      <c r="A404" t="str">
        <f>HYPERLINK("http://www.onsemi.com/PowerSolutions/product.do?id=MJ2955G","MJ2955G")</f>
        <v>MJ2955G</v>
      </c>
      <c r="B404" t="str">
        <f>HYPERLINK("http://www.onsemi.com/pub/Collateral/2N3055-D.PDF","2N3055/D (70.0kB)")</f>
        <v>2N3055/D (70.0kB)</v>
      </c>
      <c r="C404" t="s">
        <v>19</v>
      </c>
      <c r="D404" t="s">
        <v>70</v>
      </c>
      <c r="E404" t="s">
        <v>168</v>
      </c>
      <c r="F404" t="s">
        <v>72</v>
      </c>
      <c r="G404" t="s">
        <v>73</v>
      </c>
      <c r="H404" t="s">
        <v>32</v>
      </c>
      <c r="I404" t="s">
        <v>74</v>
      </c>
      <c r="J404" t="s">
        <v>75</v>
      </c>
      <c r="K404" t="s">
        <v>76</v>
      </c>
      <c r="L404" t="s">
        <v>59</v>
      </c>
      <c r="M404" t="s">
        <v>77</v>
      </c>
      <c r="N404" t="s">
        <v>345</v>
      </c>
    </row>
    <row r="405" spans="1:14" ht="12.75">
      <c r="A405" t="str">
        <f>HYPERLINK("http://www.onsemi.com/PowerSolutions/product.do?id=MJ4502","MJ4502")</f>
        <v>MJ4502</v>
      </c>
      <c r="B405" t="str">
        <f>HYPERLINK("http://www.onsemi.com/pub/Collateral/MJ4502-D.PDF","MJ4502/D (69.0kB)")</f>
        <v>MJ4502/D (69.0kB)</v>
      </c>
      <c r="C405" t="s">
        <v>69</v>
      </c>
      <c r="D405" t="s">
        <v>70</v>
      </c>
      <c r="E405" t="s">
        <v>346</v>
      </c>
      <c r="F405" t="s">
        <v>86</v>
      </c>
      <c r="G405" t="s">
        <v>23</v>
      </c>
      <c r="H405" t="s">
        <v>102</v>
      </c>
      <c r="I405" t="s">
        <v>23</v>
      </c>
      <c r="J405" t="s">
        <v>26</v>
      </c>
      <c r="K405" t="s">
        <v>33</v>
      </c>
      <c r="L405" t="s">
        <v>59</v>
      </c>
      <c r="M405" t="s">
        <v>77</v>
      </c>
      <c r="N405" t="s">
        <v>147</v>
      </c>
    </row>
    <row r="406" spans="1:14" ht="12.75">
      <c r="A406" t="str">
        <f>HYPERLINK("http://www.onsemi.com/PowerSolutions/product.do?id=MJ4502G","MJ4502G")</f>
        <v>MJ4502G</v>
      </c>
      <c r="B406" t="str">
        <f>HYPERLINK("http://www.onsemi.com/pub/Collateral/MJ4502-D.PDF","MJ4502/D (69.0kB)")</f>
        <v>MJ4502/D (69.0kB)</v>
      </c>
      <c r="C406" t="s">
        <v>19</v>
      </c>
      <c r="D406" t="s">
        <v>70</v>
      </c>
      <c r="E406" t="s">
        <v>346</v>
      </c>
      <c r="F406" t="s">
        <v>86</v>
      </c>
      <c r="G406" t="s">
        <v>23</v>
      </c>
      <c r="H406" t="s">
        <v>102</v>
      </c>
      <c r="I406" t="s">
        <v>23</v>
      </c>
      <c r="J406" t="s">
        <v>26</v>
      </c>
      <c r="K406" t="s">
        <v>33</v>
      </c>
      <c r="L406" t="s">
        <v>59</v>
      </c>
      <c r="M406" t="s">
        <v>77</v>
      </c>
      <c r="N406" t="s">
        <v>147</v>
      </c>
    </row>
    <row r="407" spans="1:14" ht="12.75">
      <c r="A407" t="str">
        <f>HYPERLINK("http://www.onsemi.com/PowerSolutions/product.do?id=MJ802","MJ802")</f>
        <v>MJ802</v>
      </c>
      <c r="B407" t="str">
        <f>HYPERLINK("http://www.onsemi.com/pub/Collateral/MJ802-D.PDF","MJ802/D (70.0kB)")</f>
        <v>MJ802/D (70.0kB)</v>
      </c>
      <c r="C407" t="s">
        <v>69</v>
      </c>
      <c r="D407" t="s">
        <v>70</v>
      </c>
      <c r="E407" t="s">
        <v>347</v>
      </c>
      <c r="F407" t="s">
        <v>86</v>
      </c>
      <c r="G407" t="s">
        <v>117</v>
      </c>
      <c r="H407" t="s">
        <v>102</v>
      </c>
      <c r="I407" t="s">
        <v>23</v>
      </c>
      <c r="J407" t="s">
        <v>26</v>
      </c>
      <c r="K407" t="s">
        <v>33</v>
      </c>
      <c r="L407" t="s">
        <v>50</v>
      </c>
      <c r="M407" t="s">
        <v>77</v>
      </c>
      <c r="N407" t="s">
        <v>89</v>
      </c>
    </row>
    <row r="408" spans="1:14" ht="12.75">
      <c r="A408" t="str">
        <f>HYPERLINK("http://www.onsemi.com/PowerSolutions/product.do?id=MJ802G","MJ802G")</f>
        <v>MJ802G</v>
      </c>
      <c r="B408" t="str">
        <f>HYPERLINK("http://www.onsemi.com/pub/Collateral/MJ802-D.PDF","MJ802/D (70.0kB)")</f>
        <v>MJ802/D (70.0kB)</v>
      </c>
      <c r="C408" t="s">
        <v>19</v>
      </c>
      <c r="D408" t="s">
        <v>70</v>
      </c>
      <c r="E408" t="s">
        <v>347</v>
      </c>
      <c r="F408" t="s">
        <v>86</v>
      </c>
      <c r="G408" t="s">
        <v>117</v>
      </c>
      <c r="H408" t="s">
        <v>102</v>
      </c>
      <c r="I408" t="s">
        <v>23</v>
      </c>
      <c r="J408" t="s">
        <v>26</v>
      </c>
      <c r="K408" t="s">
        <v>33</v>
      </c>
      <c r="L408" t="s">
        <v>50</v>
      </c>
      <c r="M408" t="s">
        <v>77</v>
      </c>
      <c r="N408" t="s">
        <v>89</v>
      </c>
    </row>
    <row r="409" spans="1:14" ht="12.75">
      <c r="A409" t="str">
        <f>HYPERLINK("http://www.onsemi.com/PowerSolutions/product.do?id=MJB41CG","MJB41CG")</f>
        <v>MJB41CG</v>
      </c>
      <c r="B409" t="str">
        <f>HYPERLINK("http://www.onsemi.com/pub/Collateral/MJB41C-D.PDF","MJB41C/D (84.0kB)")</f>
        <v>MJB41C/D (84.0kB)</v>
      </c>
      <c r="C409" t="s">
        <v>19</v>
      </c>
      <c r="D409" t="s">
        <v>70</v>
      </c>
      <c r="E409" t="s">
        <v>277</v>
      </c>
      <c r="F409" t="s">
        <v>40</v>
      </c>
      <c r="G409" t="s">
        <v>23</v>
      </c>
      <c r="H409" t="s">
        <v>72</v>
      </c>
      <c r="I409" t="s">
        <v>164</v>
      </c>
      <c r="J409" t="s">
        <v>22</v>
      </c>
      <c r="K409" t="s">
        <v>200</v>
      </c>
      <c r="L409" t="s">
        <v>50</v>
      </c>
      <c r="M409" t="s">
        <v>348</v>
      </c>
      <c r="N409" t="s">
        <v>327</v>
      </c>
    </row>
    <row r="410" spans="1:14" ht="12.75">
      <c r="A410" t="str">
        <f>HYPERLINK("http://www.onsemi.com/PowerSolutions/product.do?id=MJB41CT4G","MJB41CT4G")</f>
        <v>MJB41CT4G</v>
      </c>
      <c r="B410" t="str">
        <f>HYPERLINK("http://www.onsemi.com/pub/Collateral/MJB41C-D.PDF","MJB41C/D (84.0kB)")</f>
        <v>MJB41C/D (84.0kB)</v>
      </c>
      <c r="C410" t="s">
        <v>19</v>
      </c>
      <c r="D410" t="s">
        <v>70</v>
      </c>
      <c r="E410" t="s">
        <v>277</v>
      </c>
      <c r="F410" t="s">
        <v>40</v>
      </c>
      <c r="G410" t="s">
        <v>23</v>
      </c>
      <c r="H410" t="s">
        <v>72</v>
      </c>
      <c r="I410" t="s">
        <v>164</v>
      </c>
      <c r="J410" t="s">
        <v>22</v>
      </c>
      <c r="K410" t="s">
        <v>200</v>
      </c>
      <c r="L410" t="s">
        <v>50</v>
      </c>
      <c r="M410" t="s">
        <v>348</v>
      </c>
      <c r="N410" t="s">
        <v>327</v>
      </c>
    </row>
    <row r="411" spans="1:14" ht="12.75">
      <c r="A411" t="str">
        <f>HYPERLINK("http://www.onsemi.com/PowerSolutions/product.do?id=MJB42CT4","MJB42CT4")</f>
        <v>MJB42CT4</v>
      </c>
      <c r="B411" t="str">
        <f>HYPERLINK("http://www.onsemi.com/pub/Collateral/MJB41C-D.PDF","MJB41C/D (84.0kB)")</f>
        <v>MJB41C/D (84.0kB)</v>
      </c>
      <c r="C411" t="s">
        <v>69</v>
      </c>
      <c r="D411" t="s">
        <v>70</v>
      </c>
      <c r="E411" t="s">
        <v>280</v>
      </c>
      <c r="F411" t="s">
        <v>40</v>
      </c>
      <c r="G411" t="s">
        <v>23</v>
      </c>
      <c r="H411" t="s">
        <v>72</v>
      </c>
      <c r="I411" t="s">
        <v>164</v>
      </c>
      <c r="J411" t="s">
        <v>22</v>
      </c>
      <c r="K411" t="s">
        <v>200</v>
      </c>
      <c r="L411" t="s">
        <v>59</v>
      </c>
      <c r="M411" t="s">
        <v>348</v>
      </c>
      <c r="N411" t="s">
        <v>327</v>
      </c>
    </row>
    <row r="412" spans="1:14" ht="12.75">
      <c r="A412" t="str">
        <f>HYPERLINK("http://www.onsemi.com/PowerSolutions/product.do?id=MJB42CT4G","MJB42CT4G")</f>
        <v>MJB42CT4G</v>
      </c>
      <c r="B412" t="str">
        <f>HYPERLINK("http://www.onsemi.com/pub/Collateral/MJB41C-D.PDF","MJB41C/D (84.0kB)")</f>
        <v>MJB41C/D (84.0kB)</v>
      </c>
      <c r="C412" t="s">
        <v>19</v>
      </c>
      <c r="D412" t="s">
        <v>70</v>
      </c>
      <c r="E412" t="s">
        <v>280</v>
      </c>
      <c r="F412" t="s">
        <v>40</v>
      </c>
      <c r="G412" t="s">
        <v>23</v>
      </c>
      <c r="H412" t="s">
        <v>72</v>
      </c>
      <c r="I412" t="s">
        <v>164</v>
      </c>
      <c r="J412" t="s">
        <v>22</v>
      </c>
      <c r="K412" t="s">
        <v>200</v>
      </c>
      <c r="L412" t="s">
        <v>59</v>
      </c>
      <c r="M412" t="s">
        <v>348</v>
      </c>
      <c r="N412" t="s">
        <v>327</v>
      </c>
    </row>
    <row r="413" spans="1:14" ht="12.75">
      <c r="A413" t="str">
        <f>HYPERLINK("http://www.onsemi.com/PowerSolutions/product.do?id=MJB44H11G","MJB44H11G")</f>
        <v>MJB44H11G</v>
      </c>
      <c r="B413" t="str">
        <f aca="true" t="shared" si="13" ref="B413:B418">HYPERLINK("http://www.onsemi.com/pub/Collateral/MJB44H11-D.PDF","MJB44H11/D (64.0kB)")</f>
        <v>MJB44H11/D (64.0kB)</v>
      </c>
      <c r="C413" t="s">
        <v>19</v>
      </c>
      <c r="D413" t="s">
        <v>70</v>
      </c>
      <c r="E413" t="s">
        <v>349</v>
      </c>
      <c r="F413" t="s">
        <v>306</v>
      </c>
      <c r="G413" t="s">
        <v>111</v>
      </c>
      <c r="H413" t="s">
        <v>73</v>
      </c>
      <c r="K413" t="s">
        <v>120</v>
      </c>
      <c r="L413" t="s">
        <v>50</v>
      </c>
      <c r="M413" t="s">
        <v>348</v>
      </c>
      <c r="N413" t="s">
        <v>350</v>
      </c>
    </row>
    <row r="414" spans="1:14" ht="12.75">
      <c r="A414" t="str">
        <f>HYPERLINK("http://www.onsemi.com/PowerSolutions/product.do?id=MJB44H11T4","MJB44H11T4")</f>
        <v>MJB44H11T4</v>
      </c>
      <c r="B414" t="str">
        <f t="shared" si="13"/>
        <v>MJB44H11/D (64.0kB)</v>
      </c>
      <c r="C414" t="s">
        <v>69</v>
      </c>
      <c r="D414" t="s">
        <v>70</v>
      </c>
      <c r="E414" t="s">
        <v>349</v>
      </c>
      <c r="F414" t="s">
        <v>306</v>
      </c>
      <c r="G414" t="s">
        <v>111</v>
      </c>
      <c r="H414" t="s">
        <v>73</v>
      </c>
      <c r="K414" t="s">
        <v>120</v>
      </c>
      <c r="L414" t="s">
        <v>50</v>
      </c>
      <c r="M414" t="s">
        <v>348</v>
      </c>
      <c r="N414" t="s">
        <v>350</v>
      </c>
    </row>
    <row r="415" spans="1:14" ht="12.75">
      <c r="A415" t="str">
        <f>HYPERLINK("http://www.onsemi.com/PowerSolutions/product.do?id=MJB44H11T4G","MJB44H11T4G")</f>
        <v>MJB44H11T4G</v>
      </c>
      <c r="B415" t="str">
        <f t="shared" si="13"/>
        <v>MJB44H11/D (64.0kB)</v>
      </c>
      <c r="C415" t="s">
        <v>19</v>
      </c>
      <c r="D415" t="s">
        <v>70</v>
      </c>
      <c r="E415" t="s">
        <v>349</v>
      </c>
      <c r="F415" t="s">
        <v>306</v>
      </c>
      <c r="G415" t="s">
        <v>111</v>
      </c>
      <c r="H415" t="s">
        <v>73</v>
      </c>
      <c r="K415" t="s">
        <v>120</v>
      </c>
      <c r="L415" t="s">
        <v>50</v>
      </c>
      <c r="M415" t="s">
        <v>348</v>
      </c>
      <c r="N415" t="s">
        <v>350</v>
      </c>
    </row>
    <row r="416" spans="1:14" ht="12.75">
      <c r="A416" t="str">
        <f>HYPERLINK("http://www.onsemi.com/PowerSolutions/product.do?id=MJB45H11G","MJB45H11G")</f>
        <v>MJB45H11G</v>
      </c>
      <c r="B416" t="str">
        <f t="shared" si="13"/>
        <v>MJB44H11/D (64.0kB)</v>
      </c>
      <c r="C416" t="s">
        <v>19</v>
      </c>
      <c r="D416" t="s">
        <v>70</v>
      </c>
      <c r="E416" t="s">
        <v>351</v>
      </c>
      <c r="F416" t="s">
        <v>306</v>
      </c>
      <c r="G416" t="s">
        <v>111</v>
      </c>
      <c r="H416" t="s">
        <v>73</v>
      </c>
      <c r="K416" t="s">
        <v>120</v>
      </c>
      <c r="L416" t="s">
        <v>59</v>
      </c>
      <c r="M416" t="s">
        <v>348</v>
      </c>
      <c r="N416" t="s">
        <v>350</v>
      </c>
    </row>
    <row r="417" spans="1:14" ht="12.75">
      <c r="A417" t="str">
        <f>HYPERLINK("http://www.onsemi.com/PowerSolutions/product.do?id=MJB45H11T4","MJB45H11T4")</f>
        <v>MJB45H11T4</v>
      </c>
      <c r="B417" t="str">
        <f t="shared" si="13"/>
        <v>MJB44H11/D (64.0kB)</v>
      </c>
      <c r="C417" t="s">
        <v>69</v>
      </c>
      <c r="D417" t="s">
        <v>70</v>
      </c>
      <c r="E417" t="s">
        <v>351</v>
      </c>
      <c r="F417" t="s">
        <v>306</v>
      </c>
      <c r="G417" t="s">
        <v>111</v>
      </c>
      <c r="H417" t="s">
        <v>73</v>
      </c>
      <c r="K417" t="s">
        <v>120</v>
      </c>
      <c r="L417" t="s">
        <v>59</v>
      </c>
      <c r="M417" t="s">
        <v>348</v>
      </c>
      <c r="N417" t="s">
        <v>350</v>
      </c>
    </row>
    <row r="418" spans="1:14" ht="12.75">
      <c r="A418" t="str">
        <f>HYPERLINK("http://www.onsemi.com/PowerSolutions/product.do?id=MJB45H11T4G","MJB45H11T4G")</f>
        <v>MJB45H11T4G</v>
      </c>
      <c r="B418" t="str">
        <f t="shared" si="13"/>
        <v>MJB44H11/D (64.0kB)</v>
      </c>
      <c r="C418" t="s">
        <v>19</v>
      </c>
      <c r="D418" t="s">
        <v>70</v>
      </c>
      <c r="E418" t="s">
        <v>351</v>
      </c>
      <c r="F418" t="s">
        <v>306</v>
      </c>
      <c r="G418" t="s">
        <v>111</v>
      </c>
      <c r="H418" t="s">
        <v>73</v>
      </c>
      <c r="K418" t="s">
        <v>120</v>
      </c>
      <c r="L418" t="s">
        <v>59</v>
      </c>
      <c r="M418" t="s">
        <v>348</v>
      </c>
      <c r="N418" t="s">
        <v>350</v>
      </c>
    </row>
    <row r="419" spans="1:14" ht="12.75">
      <c r="A419" t="str">
        <f>HYPERLINK("http://www.onsemi.com/PowerSolutions/product.do?id=MJD148T4","MJD148T4")</f>
        <v>MJD148T4</v>
      </c>
      <c r="B419" t="str">
        <f>HYPERLINK("http://www.onsemi.com/pub/Collateral/MJD148-D.PDF","MJD148/D (66.0kB)")</f>
        <v>MJD148/D (66.0kB)</v>
      </c>
      <c r="C419" t="s">
        <v>69</v>
      </c>
      <c r="D419" t="s">
        <v>70</v>
      </c>
      <c r="E419" t="s">
        <v>286</v>
      </c>
      <c r="F419" t="s">
        <v>94</v>
      </c>
      <c r="G419" t="s">
        <v>64</v>
      </c>
      <c r="H419" t="s">
        <v>198</v>
      </c>
      <c r="I419" t="s">
        <v>199</v>
      </c>
      <c r="J419" t="s">
        <v>22</v>
      </c>
      <c r="K419" t="s">
        <v>32</v>
      </c>
      <c r="L419" t="s">
        <v>50</v>
      </c>
      <c r="M419" t="s">
        <v>301</v>
      </c>
      <c r="N419" t="s">
        <v>100</v>
      </c>
    </row>
    <row r="420" spans="1:14" ht="12.75">
      <c r="A420" t="str">
        <f>HYPERLINK("http://www.onsemi.com/PowerSolutions/product.do?id=MJD148T4G","MJD148T4G")</f>
        <v>MJD148T4G</v>
      </c>
      <c r="B420" t="str">
        <f>HYPERLINK("http://www.onsemi.com/pub/Collateral/MJD148-D.PDF","MJD148/D (66.0kB)")</f>
        <v>MJD148/D (66.0kB)</v>
      </c>
      <c r="C420" t="s">
        <v>19</v>
      </c>
      <c r="D420" t="s">
        <v>70</v>
      </c>
      <c r="E420" t="s">
        <v>286</v>
      </c>
      <c r="F420" t="s">
        <v>94</v>
      </c>
      <c r="G420" t="s">
        <v>64</v>
      </c>
      <c r="H420" t="s">
        <v>198</v>
      </c>
      <c r="I420" t="s">
        <v>199</v>
      </c>
      <c r="J420" t="s">
        <v>22</v>
      </c>
      <c r="K420" t="s">
        <v>32</v>
      </c>
      <c r="L420" t="s">
        <v>50</v>
      </c>
      <c r="M420" t="s">
        <v>301</v>
      </c>
      <c r="N420" t="s">
        <v>352</v>
      </c>
    </row>
    <row r="421" spans="1:14" ht="12.75">
      <c r="A421" t="str">
        <f>HYPERLINK("http://www.onsemi.com/PowerSolutions/product.do?id=MJD18002D2T4","MJD18002D2T4")</f>
        <v>MJD18002D2T4</v>
      </c>
      <c r="B421" t="str">
        <f>HYPERLINK("http://www.onsemi.com/pub/Collateral/MJD18002D2-D.PDF","MJD18002D2/D (128.0kB)")</f>
        <v>MJD18002D2/D (128.0kB)</v>
      </c>
      <c r="C421" t="s">
        <v>69</v>
      </c>
      <c r="D421" t="s">
        <v>70</v>
      </c>
      <c r="E421" t="s">
        <v>326</v>
      </c>
      <c r="F421" t="s">
        <v>26</v>
      </c>
      <c r="G421" t="s">
        <v>65</v>
      </c>
      <c r="K421" t="s">
        <v>120</v>
      </c>
      <c r="L421" t="s">
        <v>50</v>
      </c>
      <c r="M421" t="s">
        <v>301</v>
      </c>
      <c r="N421" t="s">
        <v>100</v>
      </c>
    </row>
    <row r="422" spans="1:14" ht="12.75">
      <c r="A422" t="str">
        <f>HYPERLINK("http://www.onsemi.com/PowerSolutions/product.do?id=MJD18002D2T4G","MJD18002D2T4G")</f>
        <v>MJD18002D2T4G</v>
      </c>
      <c r="B422" t="str">
        <f>HYPERLINK("http://www.onsemi.com/pub/Collateral/MJD18002D2-D.PDF","MJD18002D2/D (128.0kB)")</f>
        <v>MJD18002D2/D (128.0kB)</v>
      </c>
      <c r="C422" t="s">
        <v>19</v>
      </c>
      <c r="D422" t="s">
        <v>70</v>
      </c>
      <c r="E422" t="s">
        <v>326</v>
      </c>
      <c r="F422" t="s">
        <v>26</v>
      </c>
      <c r="G422" t="s">
        <v>65</v>
      </c>
      <c r="K422" t="s">
        <v>120</v>
      </c>
      <c r="L422" t="s">
        <v>50</v>
      </c>
      <c r="M422" t="s">
        <v>301</v>
      </c>
      <c r="N422" t="s">
        <v>353</v>
      </c>
    </row>
    <row r="423" spans="1:14" ht="12.75">
      <c r="A423" t="str">
        <f>HYPERLINK("http://www.onsemi.com/PowerSolutions/product.do?id=MJD200G","MJD200G")</f>
        <v>MJD200G</v>
      </c>
      <c r="B423" t="str">
        <f aca="true" t="shared" si="14" ref="B423:B431">HYPERLINK("http://www.onsemi.com/pub/Collateral/MJD200-D.PDF","MJD200/D (87.0kB)")</f>
        <v>MJD200/D (87.0kB)</v>
      </c>
      <c r="C423" t="s">
        <v>19</v>
      </c>
      <c r="D423" t="s">
        <v>70</v>
      </c>
      <c r="E423" t="s">
        <v>354</v>
      </c>
      <c r="F423" t="s">
        <v>163</v>
      </c>
      <c r="G423" t="s">
        <v>102</v>
      </c>
      <c r="H423" t="s">
        <v>64</v>
      </c>
      <c r="I423" t="s">
        <v>187</v>
      </c>
      <c r="J423" t="s">
        <v>200</v>
      </c>
      <c r="K423" t="s">
        <v>263</v>
      </c>
      <c r="L423" t="s">
        <v>50</v>
      </c>
      <c r="M423" t="s">
        <v>301</v>
      </c>
      <c r="N423" t="s">
        <v>264</v>
      </c>
    </row>
    <row r="424" spans="1:14" ht="12.75">
      <c r="A424" t="str">
        <f>HYPERLINK("http://www.onsemi.com/PowerSolutions/product.do?id=MJD200RL","MJD200RL")</f>
        <v>MJD200RL</v>
      </c>
      <c r="B424" t="str">
        <f t="shared" si="14"/>
        <v>MJD200/D (87.0kB)</v>
      </c>
      <c r="C424" t="s">
        <v>69</v>
      </c>
      <c r="D424" t="s">
        <v>70</v>
      </c>
      <c r="E424" t="s">
        <v>354</v>
      </c>
      <c r="F424" t="s">
        <v>163</v>
      </c>
      <c r="G424" t="s">
        <v>102</v>
      </c>
      <c r="H424" t="s">
        <v>64</v>
      </c>
      <c r="I424" t="s">
        <v>187</v>
      </c>
      <c r="J424" t="s">
        <v>200</v>
      </c>
      <c r="K424" t="s">
        <v>263</v>
      </c>
      <c r="L424" t="s">
        <v>50</v>
      </c>
      <c r="M424" t="s">
        <v>301</v>
      </c>
      <c r="N424" t="s">
        <v>355</v>
      </c>
    </row>
    <row r="425" spans="1:14" ht="12.75">
      <c r="A425" t="str">
        <f>HYPERLINK("http://www.onsemi.com/PowerSolutions/product.do?id=MJD200RLG","MJD200RLG")</f>
        <v>MJD200RLG</v>
      </c>
      <c r="B425" t="str">
        <f t="shared" si="14"/>
        <v>MJD200/D (87.0kB)</v>
      </c>
      <c r="C425" t="s">
        <v>19</v>
      </c>
      <c r="D425" t="s">
        <v>70</v>
      </c>
      <c r="E425" t="s">
        <v>354</v>
      </c>
      <c r="F425" t="s">
        <v>163</v>
      </c>
      <c r="G425" t="s">
        <v>102</v>
      </c>
      <c r="H425" t="s">
        <v>64</v>
      </c>
      <c r="I425" t="s">
        <v>187</v>
      </c>
      <c r="J425" t="s">
        <v>200</v>
      </c>
      <c r="K425" t="s">
        <v>263</v>
      </c>
      <c r="L425" t="s">
        <v>50</v>
      </c>
      <c r="M425" t="s">
        <v>301</v>
      </c>
      <c r="N425" t="s">
        <v>264</v>
      </c>
    </row>
    <row r="426" spans="1:14" ht="12.75">
      <c r="A426" t="str">
        <f>HYPERLINK("http://www.onsemi.com/PowerSolutions/product.do?id=MJD200T4","MJD200T4")</f>
        <v>MJD200T4</v>
      </c>
      <c r="B426" t="str">
        <f t="shared" si="14"/>
        <v>MJD200/D (87.0kB)</v>
      </c>
      <c r="C426" t="s">
        <v>69</v>
      </c>
      <c r="D426" t="s">
        <v>70</v>
      </c>
      <c r="E426" t="s">
        <v>354</v>
      </c>
      <c r="F426" t="s">
        <v>163</v>
      </c>
      <c r="G426" t="s">
        <v>102</v>
      </c>
      <c r="H426" t="s">
        <v>64</v>
      </c>
      <c r="I426" t="s">
        <v>187</v>
      </c>
      <c r="J426" t="s">
        <v>200</v>
      </c>
      <c r="K426" t="s">
        <v>263</v>
      </c>
      <c r="L426" t="s">
        <v>50</v>
      </c>
      <c r="M426" t="s">
        <v>301</v>
      </c>
      <c r="N426" t="s">
        <v>355</v>
      </c>
    </row>
    <row r="427" spans="1:14" ht="12.75">
      <c r="A427" t="str">
        <f>HYPERLINK("http://www.onsemi.com/PowerSolutions/product.do?id=MJD200T4G","MJD200T4G")</f>
        <v>MJD200T4G</v>
      </c>
      <c r="B427" t="str">
        <f t="shared" si="14"/>
        <v>MJD200/D (87.0kB)</v>
      </c>
      <c r="C427" t="s">
        <v>19</v>
      </c>
      <c r="D427" t="s">
        <v>70</v>
      </c>
      <c r="E427" t="s">
        <v>354</v>
      </c>
      <c r="F427" t="s">
        <v>163</v>
      </c>
      <c r="G427" t="s">
        <v>102</v>
      </c>
      <c r="H427" t="s">
        <v>64</v>
      </c>
      <c r="I427" t="s">
        <v>187</v>
      </c>
      <c r="J427" t="s">
        <v>200</v>
      </c>
      <c r="K427" t="s">
        <v>263</v>
      </c>
      <c r="L427" t="s">
        <v>50</v>
      </c>
      <c r="M427" t="s">
        <v>301</v>
      </c>
      <c r="N427" t="s">
        <v>264</v>
      </c>
    </row>
    <row r="428" spans="1:14" ht="12.75">
      <c r="A428" t="str">
        <f>HYPERLINK("http://www.onsemi.com/PowerSolutions/product.do?id=MJD210G","MJD210G")</f>
        <v>MJD210G</v>
      </c>
      <c r="B428" t="str">
        <f t="shared" si="14"/>
        <v>MJD200/D (87.0kB)</v>
      </c>
      <c r="C428" t="s">
        <v>19</v>
      </c>
      <c r="D428" t="s">
        <v>70</v>
      </c>
      <c r="E428" t="s">
        <v>356</v>
      </c>
      <c r="F428" t="s">
        <v>163</v>
      </c>
      <c r="G428" t="s">
        <v>102</v>
      </c>
      <c r="H428" t="s">
        <v>64</v>
      </c>
      <c r="I428" t="s">
        <v>187</v>
      </c>
      <c r="J428" t="s">
        <v>22</v>
      </c>
      <c r="K428" t="s">
        <v>263</v>
      </c>
      <c r="L428" t="s">
        <v>59</v>
      </c>
      <c r="M428" t="s">
        <v>301</v>
      </c>
      <c r="N428" t="s">
        <v>100</v>
      </c>
    </row>
    <row r="429" spans="1:14" ht="12.75">
      <c r="A429" t="str">
        <f>HYPERLINK("http://www.onsemi.com/PowerSolutions/product.do?id=MJD210RLG","MJD210RLG")</f>
        <v>MJD210RLG</v>
      </c>
      <c r="B429" t="str">
        <f t="shared" si="14"/>
        <v>MJD200/D (87.0kB)</v>
      </c>
      <c r="C429" t="s">
        <v>19</v>
      </c>
      <c r="D429" t="s">
        <v>70</v>
      </c>
      <c r="E429" t="s">
        <v>356</v>
      </c>
      <c r="F429" t="s">
        <v>163</v>
      </c>
      <c r="G429" t="s">
        <v>102</v>
      </c>
      <c r="H429" t="s">
        <v>64</v>
      </c>
      <c r="I429" t="s">
        <v>187</v>
      </c>
      <c r="J429" t="s">
        <v>22</v>
      </c>
      <c r="K429" t="s">
        <v>263</v>
      </c>
      <c r="L429" t="s">
        <v>59</v>
      </c>
      <c r="M429" t="s">
        <v>301</v>
      </c>
      <c r="N429" t="s">
        <v>357</v>
      </c>
    </row>
    <row r="430" spans="1:14" ht="12.75">
      <c r="A430" t="str">
        <f>HYPERLINK("http://www.onsemi.com/PowerSolutions/product.do?id=MJD210T4","MJD210T4")</f>
        <v>MJD210T4</v>
      </c>
      <c r="B430" t="str">
        <f t="shared" si="14"/>
        <v>MJD200/D (87.0kB)</v>
      </c>
      <c r="C430" t="s">
        <v>69</v>
      </c>
      <c r="D430" t="s">
        <v>70</v>
      </c>
      <c r="E430" t="s">
        <v>356</v>
      </c>
      <c r="F430" t="s">
        <v>163</v>
      </c>
      <c r="G430" t="s">
        <v>102</v>
      </c>
      <c r="H430" t="s">
        <v>64</v>
      </c>
      <c r="I430" t="s">
        <v>187</v>
      </c>
      <c r="J430" t="s">
        <v>22</v>
      </c>
      <c r="K430" t="s">
        <v>263</v>
      </c>
      <c r="L430" t="s">
        <v>59</v>
      </c>
      <c r="M430" t="s">
        <v>301</v>
      </c>
      <c r="N430" t="s">
        <v>100</v>
      </c>
    </row>
    <row r="431" spans="1:14" ht="12.75">
      <c r="A431" t="str">
        <f>HYPERLINK("http://www.onsemi.com/PowerSolutions/product.do?id=MJD210T4G","MJD210T4G")</f>
        <v>MJD210T4G</v>
      </c>
      <c r="B431" t="str">
        <f t="shared" si="14"/>
        <v>MJD200/D (87.0kB)</v>
      </c>
      <c r="C431" t="s">
        <v>19</v>
      </c>
      <c r="D431" t="s">
        <v>70</v>
      </c>
      <c r="E431" t="s">
        <v>356</v>
      </c>
      <c r="F431" t="s">
        <v>163</v>
      </c>
      <c r="G431" t="s">
        <v>102</v>
      </c>
      <c r="H431" t="s">
        <v>64</v>
      </c>
      <c r="I431" t="s">
        <v>187</v>
      </c>
      <c r="J431" t="s">
        <v>22</v>
      </c>
      <c r="K431" t="s">
        <v>263</v>
      </c>
      <c r="L431" t="s">
        <v>59</v>
      </c>
      <c r="M431" t="s">
        <v>301</v>
      </c>
      <c r="N431" t="s">
        <v>100</v>
      </c>
    </row>
    <row r="432" spans="1:14" ht="12.75">
      <c r="A432" t="str">
        <f>HYPERLINK("http://www.onsemi.com/PowerSolutions/product.do?id=MJD243G","MJD243G")</f>
        <v>MJD243G</v>
      </c>
      <c r="B432" t="str">
        <f aca="true" t="shared" si="15" ref="B432:B437">HYPERLINK("http://www.onsemi.com/pub/Collateral/MJD243-D.PDF","MJD243/D (98.0kB)")</f>
        <v>MJD243/D (98.0kB)</v>
      </c>
      <c r="C432" t="s">
        <v>19</v>
      </c>
      <c r="D432" t="s">
        <v>70</v>
      </c>
      <c r="E432" t="s">
        <v>358</v>
      </c>
      <c r="F432" t="s">
        <v>94</v>
      </c>
      <c r="G432" t="s">
        <v>23</v>
      </c>
      <c r="H432" t="s">
        <v>41</v>
      </c>
      <c r="I432" t="s">
        <v>187</v>
      </c>
      <c r="J432" t="s">
        <v>41</v>
      </c>
      <c r="K432" t="s">
        <v>263</v>
      </c>
      <c r="L432" t="s">
        <v>50</v>
      </c>
      <c r="M432" t="s">
        <v>301</v>
      </c>
      <c r="N432" t="s">
        <v>109</v>
      </c>
    </row>
    <row r="433" spans="1:14" ht="12.75">
      <c r="A433" t="str">
        <f>HYPERLINK("http://www.onsemi.com/PowerSolutions/product.do?id=MJD243T4","MJD243T4")</f>
        <v>MJD243T4</v>
      </c>
      <c r="B433" t="str">
        <f t="shared" si="15"/>
        <v>MJD243/D (98.0kB)</v>
      </c>
      <c r="C433" t="s">
        <v>69</v>
      </c>
      <c r="D433" t="s">
        <v>70</v>
      </c>
      <c r="E433" t="s">
        <v>358</v>
      </c>
      <c r="F433" t="s">
        <v>94</v>
      </c>
      <c r="G433" t="s">
        <v>23</v>
      </c>
      <c r="H433" t="s">
        <v>41</v>
      </c>
      <c r="I433" t="s">
        <v>187</v>
      </c>
      <c r="J433" t="s">
        <v>41</v>
      </c>
      <c r="K433" t="s">
        <v>263</v>
      </c>
      <c r="L433" t="s">
        <v>50</v>
      </c>
      <c r="M433" t="s">
        <v>301</v>
      </c>
      <c r="N433" t="s">
        <v>128</v>
      </c>
    </row>
    <row r="434" spans="1:14" ht="12.75">
      <c r="A434" t="str">
        <f>HYPERLINK("http://www.onsemi.com/PowerSolutions/product.do?id=MJD243T4G","MJD243T4G")</f>
        <v>MJD243T4G</v>
      </c>
      <c r="B434" t="str">
        <f t="shared" si="15"/>
        <v>MJD243/D (98.0kB)</v>
      </c>
      <c r="C434" t="s">
        <v>19</v>
      </c>
      <c r="D434" t="s">
        <v>70</v>
      </c>
      <c r="E434" t="s">
        <v>358</v>
      </c>
      <c r="F434" t="s">
        <v>94</v>
      </c>
      <c r="G434" t="s">
        <v>23</v>
      </c>
      <c r="H434" t="s">
        <v>41</v>
      </c>
      <c r="I434" t="s">
        <v>187</v>
      </c>
      <c r="J434" t="s">
        <v>41</v>
      </c>
      <c r="K434" t="s">
        <v>263</v>
      </c>
      <c r="L434" t="s">
        <v>50</v>
      </c>
      <c r="M434" t="s">
        <v>301</v>
      </c>
      <c r="N434" t="s">
        <v>109</v>
      </c>
    </row>
    <row r="435" spans="1:14" ht="12.75">
      <c r="A435" t="str">
        <f>HYPERLINK("http://www.onsemi.com/PowerSolutions/product.do?id=MJD253-1G","MJD253-1G")</f>
        <v>MJD253-1G</v>
      </c>
      <c r="B435" t="str">
        <f t="shared" si="15"/>
        <v>MJD243/D (98.0kB)</v>
      </c>
      <c r="C435" t="s">
        <v>19</v>
      </c>
      <c r="D435" t="s">
        <v>70</v>
      </c>
      <c r="E435" t="s">
        <v>359</v>
      </c>
      <c r="F435" t="s">
        <v>94</v>
      </c>
      <c r="G435" t="s">
        <v>23</v>
      </c>
      <c r="H435" t="s">
        <v>41</v>
      </c>
      <c r="I435" t="s">
        <v>187</v>
      </c>
      <c r="J435" t="s">
        <v>41</v>
      </c>
      <c r="K435" t="s">
        <v>263</v>
      </c>
      <c r="L435" t="s">
        <v>59</v>
      </c>
      <c r="M435" t="s">
        <v>299</v>
      </c>
      <c r="N435" t="s">
        <v>109</v>
      </c>
    </row>
    <row r="436" spans="1:14" ht="12.75">
      <c r="A436" t="str">
        <f>HYPERLINK("http://www.onsemi.com/PowerSolutions/product.do?id=MJD253T4","MJD253T4")</f>
        <v>MJD253T4</v>
      </c>
      <c r="B436" t="str">
        <f t="shared" si="15"/>
        <v>MJD243/D (98.0kB)</v>
      </c>
      <c r="C436" t="s">
        <v>69</v>
      </c>
      <c r="D436" t="s">
        <v>70</v>
      </c>
      <c r="E436" t="s">
        <v>359</v>
      </c>
      <c r="F436" t="s">
        <v>94</v>
      </c>
      <c r="G436" t="s">
        <v>23</v>
      </c>
      <c r="H436" t="s">
        <v>41</v>
      </c>
      <c r="I436" t="s">
        <v>187</v>
      </c>
      <c r="J436" t="s">
        <v>41</v>
      </c>
      <c r="K436" t="s">
        <v>263</v>
      </c>
      <c r="L436" t="s">
        <v>59</v>
      </c>
      <c r="M436" t="s">
        <v>301</v>
      </c>
      <c r="N436" t="s">
        <v>128</v>
      </c>
    </row>
    <row r="437" spans="1:14" ht="12.75">
      <c r="A437" t="str">
        <f>HYPERLINK("http://www.onsemi.com/PowerSolutions/product.do?id=MJD253T4G","MJD253T4G")</f>
        <v>MJD253T4G</v>
      </c>
      <c r="B437" t="str">
        <f t="shared" si="15"/>
        <v>MJD243/D (98.0kB)</v>
      </c>
      <c r="C437" t="s">
        <v>19</v>
      </c>
      <c r="D437" t="s">
        <v>70</v>
      </c>
      <c r="E437" t="s">
        <v>359</v>
      </c>
      <c r="F437" t="s">
        <v>94</v>
      </c>
      <c r="G437" t="s">
        <v>23</v>
      </c>
      <c r="H437" t="s">
        <v>41</v>
      </c>
      <c r="I437" t="s">
        <v>187</v>
      </c>
      <c r="J437" t="s">
        <v>41</v>
      </c>
      <c r="K437" t="s">
        <v>263</v>
      </c>
      <c r="L437" t="s">
        <v>59</v>
      </c>
      <c r="M437" t="s">
        <v>301</v>
      </c>
      <c r="N437" t="s">
        <v>109</v>
      </c>
    </row>
    <row r="438" spans="1:14" ht="12.75">
      <c r="A438" t="str">
        <f>HYPERLINK("http://www.onsemi.com/PowerSolutions/product.do?id=MJD2955-1G","MJD2955-1G")</f>
        <v>MJD2955-1G</v>
      </c>
      <c r="B438" t="str">
        <f aca="true" t="shared" si="16" ref="B438:B444">HYPERLINK("http://www.onsemi.com/pub/Collateral/MJD2955-D.PDF","MJD2955/D (78.0kB)")</f>
        <v>MJD2955/D (78.0kB)</v>
      </c>
      <c r="C438" t="s">
        <v>19</v>
      </c>
      <c r="D438" t="s">
        <v>70</v>
      </c>
      <c r="E438" t="s">
        <v>331</v>
      </c>
      <c r="F438" t="s">
        <v>79</v>
      </c>
      <c r="G438" t="s">
        <v>73</v>
      </c>
      <c r="H438" t="s">
        <v>32</v>
      </c>
      <c r="I438" t="s">
        <v>23</v>
      </c>
      <c r="J438" t="s">
        <v>26</v>
      </c>
      <c r="K438" t="s">
        <v>32</v>
      </c>
      <c r="L438" t="s">
        <v>59</v>
      </c>
      <c r="M438" t="s">
        <v>299</v>
      </c>
      <c r="N438" t="s">
        <v>140</v>
      </c>
    </row>
    <row r="439" spans="1:14" ht="12.75">
      <c r="A439" t="str">
        <f>HYPERLINK("http://www.onsemi.com/PowerSolutions/product.do?id=MJD2955G","MJD2955G")</f>
        <v>MJD2955G</v>
      </c>
      <c r="B439" t="str">
        <f t="shared" si="16"/>
        <v>MJD2955/D (78.0kB)</v>
      </c>
      <c r="C439" t="s">
        <v>19</v>
      </c>
      <c r="D439" t="s">
        <v>70</v>
      </c>
      <c r="E439" t="s">
        <v>331</v>
      </c>
      <c r="F439" t="s">
        <v>79</v>
      </c>
      <c r="G439" t="s">
        <v>73</v>
      </c>
      <c r="H439" t="s">
        <v>32</v>
      </c>
      <c r="I439" t="s">
        <v>23</v>
      </c>
      <c r="J439" t="s">
        <v>26</v>
      </c>
      <c r="K439" t="s">
        <v>32</v>
      </c>
      <c r="L439" t="s">
        <v>59</v>
      </c>
      <c r="M439" t="s">
        <v>301</v>
      </c>
      <c r="N439" t="s">
        <v>140</v>
      </c>
    </row>
    <row r="440" spans="1:14" ht="12.75">
      <c r="A440" t="str">
        <f>HYPERLINK("http://www.onsemi.com/PowerSolutions/product.do?id=MJD2955T4","MJD2955T4")</f>
        <v>MJD2955T4</v>
      </c>
      <c r="B440" t="str">
        <f t="shared" si="16"/>
        <v>MJD2955/D (78.0kB)</v>
      </c>
      <c r="C440" t="s">
        <v>69</v>
      </c>
      <c r="D440" t="s">
        <v>70</v>
      </c>
      <c r="E440" t="s">
        <v>331</v>
      </c>
      <c r="F440" t="s">
        <v>79</v>
      </c>
      <c r="G440" t="s">
        <v>73</v>
      </c>
      <c r="H440" t="s">
        <v>32</v>
      </c>
      <c r="I440" t="s">
        <v>23</v>
      </c>
      <c r="J440" t="s">
        <v>26</v>
      </c>
      <c r="K440" t="s">
        <v>32</v>
      </c>
      <c r="L440" t="s">
        <v>59</v>
      </c>
      <c r="M440" t="s">
        <v>301</v>
      </c>
      <c r="N440" t="s">
        <v>109</v>
      </c>
    </row>
    <row r="441" spans="1:14" ht="12.75">
      <c r="A441" t="str">
        <f>HYPERLINK("http://www.onsemi.com/PowerSolutions/product.do?id=MJD2955T4G","MJD2955T4G")</f>
        <v>MJD2955T4G</v>
      </c>
      <c r="B441" t="str">
        <f t="shared" si="16"/>
        <v>MJD2955/D (78.0kB)</v>
      </c>
      <c r="C441" t="s">
        <v>19</v>
      </c>
      <c r="D441" t="s">
        <v>70</v>
      </c>
      <c r="E441" t="s">
        <v>331</v>
      </c>
      <c r="F441" t="s">
        <v>79</v>
      </c>
      <c r="G441" t="s">
        <v>73</v>
      </c>
      <c r="H441" t="s">
        <v>32</v>
      </c>
      <c r="I441" t="s">
        <v>23</v>
      </c>
      <c r="J441" t="s">
        <v>26</v>
      </c>
      <c r="K441" t="s">
        <v>32</v>
      </c>
      <c r="L441" t="s">
        <v>59</v>
      </c>
      <c r="M441" t="s">
        <v>301</v>
      </c>
      <c r="N441" t="s">
        <v>140</v>
      </c>
    </row>
    <row r="442" spans="1:14" ht="12.75">
      <c r="A442" t="str">
        <f>HYPERLINK("http://www.onsemi.com/PowerSolutions/product.do?id=MJD3055G","MJD3055G")</f>
        <v>MJD3055G</v>
      </c>
      <c r="B442" t="str">
        <f t="shared" si="16"/>
        <v>MJD2955/D (78.0kB)</v>
      </c>
      <c r="C442" t="s">
        <v>19</v>
      </c>
      <c r="D442" t="s">
        <v>70</v>
      </c>
      <c r="E442" t="s">
        <v>329</v>
      </c>
      <c r="F442" t="s">
        <v>79</v>
      </c>
      <c r="G442" t="s">
        <v>73</v>
      </c>
      <c r="H442" t="s">
        <v>32</v>
      </c>
      <c r="I442" t="s">
        <v>23</v>
      </c>
      <c r="J442" t="s">
        <v>26</v>
      </c>
      <c r="K442" t="s">
        <v>32</v>
      </c>
      <c r="L442" t="s">
        <v>50</v>
      </c>
      <c r="M442" t="s">
        <v>301</v>
      </c>
      <c r="N442" t="s">
        <v>360</v>
      </c>
    </row>
    <row r="443" spans="1:14" ht="12.75">
      <c r="A443" t="str">
        <f>HYPERLINK("http://www.onsemi.com/PowerSolutions/product.do?id=MJD3055T4","MJD3055T4")</f>
        <v>MJD3055T4</v>
      </c>
      <c r="B443" t="str">
        <f t="shared" si="16"/>
        <v>MJD2955/D (78.0kB)</v>
      </c>
      <c r="C443" t="s">
        <v>69</v>
      </c>
      <c r="D443" t="s">
        <v>70</v>
      </c>
      <c r="E443" t="s">
        <v>329</v>
      </c>
      <c r="F443" t="s">
        <v>79</v>
      </c>
      <c r="G443" t="s">
        <v>73</v>
      </c>
      <c r="H443" t="s">
        <v>32</v>
      </c>
      <c r="I443" t="s">
        <v>23</v>
      </c>
      <c r="J443" t="s">
        <v>26</v>
      </c>
      <c r="K443" t="s">
        <v>32</v>
      </c>
      <c r="L443" t="s">
        <v>50</v>
      </c>
      <c r="M443" t="s">
        <v>301</v>
      </c>
      <c r="N443" t="s">
        <v>300</v>
      </c>
    </row>
    <row r="444" spans="1:14" ht="12.75">
      <c r="A444" t="str">
        <f>HYPERLINK("http://www.onsemi.com/PowerSolutions/product.do?id=MJD3055T4G","MJD3055T4G")</f>
        <v>MJD3055T4G</v>
      </c>
      <c r="B444" t="str">
        <f t="shared" si="16"/>
        <v>MJD2955/D (78.0kB)</v>
      </c>
      <c r="C444" t="s">
        <v>19</v>
      </c>
      <c r="D444" t="s">
        <v>70</v>
      </c>
      <c r="E444" t="s">
        <v>329</v>
      </c>
      <c r="F444" t="s">
        <v>79</v>
      </c>
      <c r="G444" t="s">
        <v>73</v>
      </c>
      <c r="H444" t="s">
        <v>32</v>
      </c>
      <c r="I444" t="s">
        <v>23</v>
      </c>
      <c r="J444" t="s">
        <v>26</v>
      </c>
      <c r="K444" t="s">
        <v>32</v>
      </c>
      <c r="L444" t="s">
        <v>50</v>
      </c>
      <c r="M444" t="s">
        <v>301</v>
      </c>
      <c r="N444" t="s">
        <v>360</v>
      </c>
    </row>
    <row r="445" spans="1:14" ht="12.75">
      <c r="A445" t="str">
        <f>HYPERLINK("http://www.onsemi.com/PowerSolutions/product.do?id=MJD31C","MJD31C")</f>
        <v>MJD31C</v>
      </c>
      <c r="B445" t="str">
        <f aca="true" t="shared" si="17" ref="B445:B459">HYPERLINK("http://www.onsemi.com/pub/Collateral/MJD31-D.PDF","MJD31/D (81.0kB)")</f>
        <v>MJD31/D (81.0kB)</v>
      </c>
      <c r="C445" t="s">
        <v>69</v>
      </c>
      <c r="D445" t="s">
        <v>70</v>
      </c>
      <c r="E445" t="s">
        <v>274</v>
      </c>
      <c r="F445" t="s">
        <v>22</v>
      </c>
      <c r="G445" t="s">
        <v>23</v>
      </c>
      <c r="H445" t="s">
        <v>79</v>
      </c>
      <c r="I445" t="s">
        <v>120</v>
      </c>
      <c r="J445" t="s">
        <v>22</v>
      </c>
      <c r="K445" t="s">
        <v>72</v>
      </c>
      <c r="L445" t="s">
        <v>50</v>
      </c>
      <c r="M445" t="s">
        <v>301</v>
      </c>
      <c r="N445" t="s">
        <v>100</v>
      </c>
    </row>
    <row r="446" spans="1:14" ht="12.75">
      <c r="A446" t="str">
        <f>HYPERLINK("http://www.onsemi.com/PowerSolutions/product.do?id=MJD31C1G","MJD31C1G")</f>
        <v>MJD31C1G</v>
      </c>
      <c r="B446" t="str">
        <f t="shared" si="17"/>
        <v>MJD31/D (81.0kB)</v>
      </c>
      <c r="C446" t="s">
        <v>19</v>
      </c>
      <c r="D446" t="s">
        <v>70</v>
      </c>
      <c r="E446" t="s">
        <v>274</v>
      </c>
      <c r="F446" t="s">
        <v>22</v>
      </c>
      <c r="G446" t="s">
        <v>23</v>
      </c>
      <c r="H446" t="s">
        <v>79</v>
      </c>
      <c r="I446" t="s">
        <v>120</v>
      </c>
      <c r="J446" t="s">
        <v>22</v>
      </c>
      <c r="K446" t="s">
        <v>72</v>
      </c>
      <c r="L446" t="s">
        <v>50</v>
      </c>
      <c r="M446" t="s">
        <v>299</v>
      </c>
      <c r="N446" t="s">
        <v>100</v>
      </c>
    </row>
    <row r="447" spans="1:14" ht="12.75">
      <c r="A447" t="str">
        <f>HYPERLINK("http://www.onsemi.com/PowerSolutions/product.do?id=MJD31CG","MJD31CG")</f>
        <v>MJD31CG</v>
      </c>
      <c r="B447" t="str">
        <f t="shared" si="17"/>
        <v>MJD31/D (81.0kB)</v>
      </c>
      <c r="C447" t="s">
        <v>19</v>
      </c>
      <c r="D447" t="s">
        <v>70</v>
      </c>
      <c r="E447" t="s">
        <v>274</v>
      </c>
      <c r="F447" t="s">
        <v>22</v>
      </c>
      <c r="G447" t="s">
        <v>23</v>
      </c>
      <c r="H447" t="s">
        <v>79</v>
      </c>
      <c r="I447" t="s">
        <v>120</v>
      </c>
      <c r="J447" t="s">
        <v>22</v>
      </c>
      <c r="K447" t="s">
        <v>72</v>
      </c>
      <c r="L447" t="s">
        <v>50</v>
      </c>
      <c r="M447" t="s">
        <v>301</v>
      </c>
      <c r="N447" t="s">
        <v>100</v>
      </c>
    </row>
    <row r="448" spans="1:14" ht="12.75">
      <c r="A448" t="str">
        <f>HYPERLINK("http://www.onsemi.com/PowerSolutions/product.do?id=MJD31CRLG","MJD31CRLG")</f>
        <v>MJD31CRLG</v>
      </c>
      <c r="B448" t="str">
        <f t="shared" si="17"/>
        <v>MJD31/D (81.0kB)</v>
      </c>
      <c r="C448" t="s">
        <v>19</v>
      </c>
      <c r="D448" t="s">
        <v>70</v>
      </c>
      <c r="E448" t="s">
        <v>274</v>
      </c>
      <c r="F448" t="s">
        <v>22</v>
      </c>
      <c r="G448" t="s">
        <v>23</v>
      </c>
      <c r="H448" t="s">
        <v>79</v>
      </c>
      <c r="I448" t="s">
        <v>120</v>
      </c>
      <c r="J448" t="s">
        <v>22</v>
      </c>
      <c r="K448" t="s">
        <v>72</v>
      </c>
      <c r="L448" t="s">
        <v>50</v>
      </c>
      <c r="M448" t="s">
        <v>301</v>
      </c>
      <c r="N448" t="s">
        <v>361</v>
      </c>
    </row>
    <row r="449" spans="1:14" ht="12.75">
      <c r="A449" t="str">
        <f>HYPERLINK("http://www.onsemi.com/PowerSolutions/product.do?id=MJD31CT4","MJD31CT4")</f>
        <v>MJD31CT4</v>
      </c>
      <c r="B449" t="str">
        <f t="shared" si="17"/>
        <v>MJD31/D (81.0kB)</v>
      </c>
      <c r="C449" t="s">
        <v>69</v>
      </c>
      <c r="D449" t="s">
        <v>70</v>
      </c>
      <c r="E449" t="s">
        <v>274</v>
      </c>
      <c r="F449" t="s">
        <v>22</v>
      </c>
      <c r="G449" t="s">
        <v>23</v>
      </c>
      <c r="H449" t="s">
        <v>79</v>
      </c>
      <c r="I449" t="s">
        <v>120</v>
      </c>
      <c r="J449" t="s">
        <v>22</v>
      </c>
      <c r="K449" t="s">
        <v>72</v>
      </c>
      <c r="L449" t="s">
        <v>50</v>
      </c>
      <c r="M449" t="s">
        <v>301</v>
      </c>
      <c r="N449" t="s">
        <v>100</v>
      </c>
    </row>
    <row r="450" spans="1:14" ht="12.75">
      <c r="A450" t="str">
        <f>HYPERLINK("http://www.onsemi.com/PowerSolutions/product.do?id=MJD31CT4G","MJD31CT4G")</f>
        <v>MJD31CT4G</v>
      </c>
      <c r="B450" t="str">
        <f t="shared" si="17"/>
        <v>MJD31/D (81.0kB)</v>
      </c>
      <c r="C450" t="s">
        <v>19</v>
      </c>
      <c r="D450" t="s">
        <v>70</v>
      </c>
      <c r="E450" t="s">
        <v>274</v>
      </c>
      <c r="F450" t="s">
        <v>22</v>
      </c>
      <c r="G450" t="s">
        <v>23</v>
      </c>
      <c r="H450" t="s">
        <v>79</v>
      </c>
      <c r="I450" t="s">
        <v>120</v>
      </c>
      <c r="J450" t="s">
        <v>22</v>
      </c>
      <c r="K450" t="s">
        <v>72</v>
      </c>
      <c r="L450" t="s">
        <v>50</v>
      </c>
      <c r="M450" t="s">
        <v>301</v>
      </c>
      <c r="N450" t="s">
        <v>100</v>
      </c>
    </row>
    <row r="451" spans="1:14" ht="12.75">
      <c r="A451" t="str">
        <f>HYPERLINK("http://www.onsemi.com/PowerSolutions/product.do?id=MJD31T4","MJD31T4")</f>
        <v>MJD31T4</v>
      </c>
      <c r="B451" t="str">
        <f t="shared" si="17"/>
        <v>MJD31/D (81.0kB)</v>
      </c>
      <c r="C451" t="s">
        <v>69</v>
      </c>
      <c r="D451" t="s">
        <v>70</v>
      </c>
      <c r="E451" t="s">
        <v>112</v>
      </c>
      <c r="F451" t="s">
        <v>22</v>
      </c>
      <c r="G451" t="s">
        <v>41</v>
      </c>
      <c r="H451" t="s">
        <v>79</v>
      </c>
      <c r="I451" t="s">
        <v>120</v>
      </c>
      <c r="J451" t="s">
        <v>22</v>
      </c>
      <c r="K451" t="s">
        <v>72</v>
      </c>
      <c r="L451" t="s">
        <v>50</v>
      </c>
      <c r="M451" t="s">
        <v>301</v>
      </c>
      <c r="N451" t="s">
        <v>158</v>
      </c>
    </row>
    <row r="452" spans="1:14" ht="12.75">
      <c r="A452" t="str">
        <f>HYPERLINK("http://www.onsemi.com/PowerSolutions/product.do?id=MJD31T4G","MJD31T4G")</f>
        <v>MJD31T4G</v>
      </c>
      <c r="B452" t="str">
        <f t="shared" si="17"/>
        <v>MJD31/D (81.0kB)</v>
      </c>
      <c r="C452" t="s">
        <v>19</v>
      </c>
      <c r="D452" t="s">
        <v>70</v>
      </c>
      <c r="E452" t="s">
        <v>112</v>
      </c>
      <c r="F452" t="s">
        <v>22</v>
      </c>
      <c r="G452" t="s">
        <v>41</v>
      </c>
      <c r="H452" t="s">
        <v>79</v>
      </c>
      <c r="I452" t="s">
        <v>120</v>
      </c>
      <c r="J452" t="s">
        <v>22</v>
      </c>
      <c r="K452" t="s">
        <v>72</v>
      </c>
      <c r="L452" t="s">
        <v>50</v>
      </c>
      <c r="M452" t="s">
        <v>301</v>
      </c>
      <c r="N452" t="s">
        <v>264</v>
      </c>
    </row>
    <row r="453" spans="1:14" ht="12.75">
      <c r="A453" t="str">
        <f>HYPERLINK("http://www.onsemi.com/PowerSolutions/product.do?id=MJD32CG","MJD32CG")</f>
        <v>MJD32CG</v>
      </c>
      <c r="B453" t="str">
        <f t="shared" si="17"/>
        <v>MJD31/D (81.0kB)</v>
      </c>
      <c r="C453" t="s">
        <v>19</v>
      </c>
      <c r="D453" t="s">
        <v>70</v>
      </c>
      <c r="E453" t="s">
        <v>276</v>
      </c>
      <c r="F453" t="s">
        <v>22</v>
      </c>
      <c r="G453" t="s">
        <v>23</v>
      </c>
      <c r="H453" t="s">
        <v>79</v>
      </c>
      <c r="I453" t="s">
        <v>120</v>
      </c>
      <c r="J453" t="s">
        <v>22</v>
      </c>
      <c r="K453" t="s">
        <v>72</v>
      </c>
      <c r="L453" t="s">
        <v>59</v>
      </c>
      <c r="M453" t="s">
        <v>301</v>
      </c>
      <c r="N453" t="s">
        <v>100</v>
      </c>
    </row>
    <row r="454" spans="1:14" ht="12.75">
      <c r="A454" t="str">
        <f>HYPERLINK("http://www.onsemi.com/PowerSolutions/product.do?id=MJD32CRLG","MJD32CRLG")</f>
        <v>MJD32CRLG</v>
      </c>
      <c r="B454" t="str">
        <f t="shared" si="17"/>
        <v>MJD31/D (81.0kB)</v>
      </c>
      <c r="C454" t="s">
        <v>19</v>
      </c>
      <c r="D454" t="s">
        <v>70</v>
      </c>
      <c r="E454" t="s">
        <v>276</v>
      </c>
      <c r="F454" t="s">
        <v>22</v>
      </c>
      <c r="G454" t="s">
        <v>23</v>
      </c>
      <c r="H454" t="s">
        <v>79</v>
      </c>
      <c r="I454" t="s">
        <v>120</v>
      </c>
      <c r="J454" t="s">
        <v>22</v>
      </c>
      <c r="K454" t="s">
        <v>72</v>
      </c>
      <c r="L454" t="s">
        <v>59</v>
      </c>
      <c r="M454" t="s">
        <v>301</v>
      </c>
      <c r="N454" t="s">
        <v>100</v>
      </c>
    </row>
    <row r="455" spans="1:14" ht="12.75">
      <c r="A455" t="str">
        <f>HYPERLINK("http://www.onsemi.com/PowerSolutions/product.do?id=MJD32CT4","MJD32CT4")</f>
        <v>MJD32CT4</v>
      </c>
      <c r="B455" t="str">
        <f t="shared" si="17"/>
        <v>MJD31/D (81.0kB)</v>
      </c>
      <c r="C455" t="s">
        <v>69</v>
      </c>
      <c r="D455" t="s">
        <v>70</v>
      </c>
      <c r="E455" t="s">
        <v>276</v>
      </c>
      <c r="F455" t="s">
        <v>22</v>
      </c>
      <c r="G455" t="s">
        <v>23</v>
      </c>
      <c r="H455" t="s">
        <v>79</v>
      </c>
      <c r="I455" t="s">
        <v>120</v>
      </c>
      <c r="J455" t="s">
        <v>22</v>
      </c>
      <c r="K455" t="s">
        <v>72</v>
      </c>
      <c r="L455" t="s">
        <v>59</v>
      </c>
      <c r="M455" t="s">
        <v>301</v>
      </c>
      <c r="N455" t="s">
        <v>100</v>
      </c>
    </row>
    <row r="456" spans="1:14" ht="12.75">
      <c r="A456" t="str">
        <f>HYPERLINK("http://www.onsemi.com/PowerSolutions/product.do?id=MJD32CT4G","MJD32CT4G")</f>
        <v>MJD32CT4G</v>
      </c>
      <c r="B456" t="str">
        <f t="shared" si="17"/>
        <v>MJD31/D (81.0kB)</v>
      </c>
      <c r="C456" t="s">
        <v>19</v>
      </c>
      <c r="D456" t="s">
        <v>70</v>
      </c>
      <c r="E456" t="s">
        <v>276</v>
      </c>
      <c r="F456" t="s">
        <v>22</v>
      </c>
      <c r="G456" t="s">
        <v>23</v>
      </c>
      <c r="H456" t="s">
        <v>79</v>
      </c>
      <c r="I456" t="s">
        <v>120</v>
      </c>
      <c r="J456" t="s">
        <v>22</v>
      </c>
      <c r="K456" t="s">
        <v>72</v>
      </c>
      <c r="L456" t="s">
        <v>59</v>
      </c>
      <c r="M456" t="s">
        <v>301</v>
      </c>
      <c r="N456" t="s">
        <v>362</v>
      </c>
    </row>
    <row r="457" spans="1:14" ht="12.75">
      <c r="A457" t="str">
        <f>HYPERLINK("http://www.onsemi.com/PowerSolutions/product.do?id=MJD32RLG","MJD32RLG")</f>
        <v>MJD32RLG</v>
      </c>
      <c r="B457" t="str">
        <f t="shared" si="17"/>
        <v>MJD31/D (81.0kB)</v>
      </c>
      <c r="C457" t="s">
        <v>19</v>
      </c>
      <c r="D457" t="s">
        <v>70</v>
      </c>
      <c r="E457" t="s">
        <v>105</v>
      </c>
      <c r="F457" t="s">
        <v>22</v>
      </c>
      <c r="G457" t="s">
        <v>41</v>
      </c>
      <c r="H457" t="s">
        <v>79</v>
      </c>
      <c r="I457" t="s">
        <v>120</v>
      </c>
      <c r="J457" t="s">
        <v>22</v>
      </c>
      <c r="K457" t="s">
        <v>72</v>
      </c>
      <c r="L457" t="s">
        <v>59</v>
      </c>
      <c r="M457" t="s">
        <v>301</v>
      </c>
      <c r="N457" t="s">
        <v>264</v>
      </c>
    </row>
    <row r="458" spans="1:14" ht="12.75">
      <c r="A458" t="str">
        <f>HYPERLINK("http://www.onsemi.com/PowerSolutions/product.do?id=MJD32T4","MJD32T4")</f>
        <v>MJD32T4</v>
      </c>
      <c r="B458" t="str">
        <f t="shared" si="17"/>
        <v>MJD31/D (81.0kB)</v>
      </c>
      <c r="C458" t="s">
        <v>69</v>
      </c>
      <c r="D458" t="s">
        <v>70</v>
      </c>
      <c r="E458" t="s">
        <v>105</v>
      </c>
      <c r="F458" t="s">
        <v>22</v>
      </c>
      <c r="G458" t="s">
        <v>41</v>
      </c>
      <c r="H458" t="s">
        <v>79</v>
      </c>
      <c r="I458" t="s">
        <v>120</v>
      </c>
      <c r="J458" t="s">
        <v>22</v>
      </c>
      <c r="K458" t="s">
        <v>72</v>
      </c>
      <c r="L458" t="s">
        <v>59</v>
      </c>
      <c r="M458" t="s">
        <v>301</v>
      </c>
      <c r="N458" t="s">
        <v>158</v>
      </c>
    </row>
    <row r="459" spans="1:14" ht="12.75">
      <c r="A459" t="str">
        <f>HYPERLINK("http://www.onsemi.com/PowerSolutions/product.do?id=MJD32T4G","MJD32T4G")</f>
        <v>MJD32T4G</v>
      </c>
      <c r="B459" t="str">
        <f t="shared" si="17"/>
        <v>MJD31/D (81.0kB)</v>
      </c>
      <c r="C459" t="s">
        <v>19</v>
      </c>
      <c r="D459" t="s">
        <v>70</v>
      </c>
      <c r="E459" t="s">
        <v>105</v>
      </c>
      <c r="F459" t="s">
        <v>22</v>
      </c>
      <c r="G459" t="s">
        <v>41</v>
      </c>
      <c r="H459" t="s">
        <v>79</v>
      </c>
      <c r="I459" t="s">
        <v>120</v>
      </c>
      <c r="J459" t="s">
        <v>22</v>
      </c>
      <c r="K459" t="s">
        <v>72</v>
      </c>
      <c r="L459" t="s">
        <v>59</v>
      </c>
      <c r="M459" t="s">
        <v>301</v>
      </c>
      <c r="N459" t="s">
        <v>264</v>
      </c>
    </row>
    <row r="460" spans="1:14" ht="12.75">
      <c r="A460" t="str">
        <f>HYPERLINK("http://www.onsemi.com/PowerSolutions/product.do?id=MJD340G","MJD340G")</f>
        <v>MJD340G</v>
      </c>
      <c r="B460" t="str">
        <f aca="true" t="shared" si="18" ref="B460:B468">HYPERLINK("http://www.onsemi.com/pub/Collateral/MJD340-D.PDF","MJD340/D (74.0kB)")</f>
        <v>MJD340/D (74.0kB)</v>
      </c>
      <c r="C460" t="s">
        <v>19</v>
      </c>
      <c r="D460" t="s">
        <v>70</v>
      </c>
      <c r="E460" t="s">
        <v>363</v>
      </c>
      <c r="F460" t="s">
        <v>135</v>
      </c>
      <c r="G460" t="s">
        <v>48</v>
      </c>
      <c r="H460" t="s">
        <v>86</v>
      </c>
      <c r="I460" t="s">
        <v>136</v>
      </c>
      <c r="K460" t="s">
        <v>72</v>
      </c>
      <c r="L460" t="s">
        <v>50</v>
      </c>
      <c r="M460" t="s">
        <v>301</v>
      </c>
      <c r="N460" t="s">
        <v>100</v>
      </c>
    </row>
    <row r="461" spans="1:14" ht="12.75">
      <c r="A461" t="str">
        <f>HYPERLINK("http://www.onsemi.com/PowerSolutions/product.do?id=MJD340RL","MJD340RL")</f>
        <v>MJD340RL</v>
      </c>
      <c r="B461" t="str">
        <f t="shared" si="18"/>
        <v>MJD340/D (74.0kB)</v>
      </c>
      <c r="C461" t="s">
        <v>69</v>
      </c>
      <c r="D461" t="s">
        <v>70</v>
      </c>
      <c r="E461" t="s">
        <v>363</v>
      </c>
      <c r="F461" t="s">
        <v>135</v>
      </c>
      <c r="G461" t="s">
        <v>48</v>
      </c>
      <c r="H461" t="s">
        <v>86</v>
      </c>
      <c r="I461" t="s">
        <v>136</v>
      </c>
      <c r="K461" t="s">
        <v>72</v>
      </c>
      <c r="L461" t="s">
        <v>50</v>
      </c>
      <c r="M461" t="s">
        <v>301</v>
      </c>
      <c r="N461" t="s">
        <v>100</v>
      </c>
    </row>
    <row r="462" spans="1:14" ht="12.75">
      <c r="A462" t="str">
        <f>HYPERLINK("http://www.onsemi.com/PowerSolutions/product.do?id=MJD340RLG","MJD340RLG")</f>
        <v>MJD340RLG</v>
      </c>
      <c r="B462" t="str">
        <f t="shared" si="18"/>
        <v>MJD340/D (74.0kB)</v>
      </c>
      <c r="C462" t="s">
        <v>19</v>
      </c>
      <c r="D462" t="s">
        <v>70</v>
      </c>
      <c r="E462" t="s">
        <v>363</v>
      </c>
      <c r="F462" t="s">
        <v>135</v>
      </c>
      <c r="G462" t="s">
        <v>48</v>
      </c>
      <c r="H462" t="s">
        <v>86</v>
      </c>
      <c r="I462" t="s">
        <v>136</v>
      </c>
      <c r="K462" t="s">
        <v>72</v>
      </c>
      <c r="L462" t="s">
        <v>50</v>
      </c>
      <c r="M462" t="s">
        <v>301</v>
      </c>
      <c r="N462" t="s">
        <v>364</v>
      </c>
    </row>
    <row r="463" spans="1:14" ht="12.75">
      <c r="A463" t="str">
        <f>HYPERLINK("http://www.onsemi.com/PowerSolutions/product.do?id=MJD340T4","MJD340T4")</f>
        <v>MJD340T4</v>
      </c>
      <c r="B463" t="str">
        <f t="shared" si="18"/>
        <v>MJD340/D (74.0kB)</v>
      </c>
      <c r="C463" t="s">
        <v>69</v>
      </c>
      <c r="D463" t="s">
        <v>70</v>
      </c>
      <c r="E463" t="s">
        <v>363</v>
      </c>
      <c r="F463" t="s">
        <v>135</v>
      </c>
      <c r="G463" t="s">
        <v>48</v>
      </c>
      <c r="H463" t="s">
        <v>86</v>
      </c>
      <c r="I463" t="s">
        <v>136</v>
      </c>
      <c r="K463" t="s">
        <v>72</v>
      </c>
      <c r="L463" t="s">
        <v>50</v>
      </c>
      <c r="M463" t="s">
        <v>301</v>
      </c>
      <c r="N463" t="s">
        <v>100</v>
      </c>
    </row>
    <row r="464" spans="1:14" ht="12.75">
      <c r="A464" t="str">
        <f>HYPERLINK("http://www.onsemi.com/PowerSolutions/product.do?id=MJD340T4G","MJD340T4G")</f>
        <v>MJD340T4G</v>
      </c>
      <c r="B464" t="str">
        <f t="shared" si="18"/>
        <v>MJD340/D (74.0kB)</v>
      </c>
      <c r="C464" t="s">
        <v>19</v>
      </c>
      <c r="D464" t="s">
        <v>70</v>
      </c>
      <c r="E464" t="s">
        <v>363</v>
      </c>
      <c r="F464" t="s">
        <v>135</v>
      </c>
      <c r="G464" t="s">
        <v>48</v>
      </c>
      <c r="H464" t="s">
        <v>86</v>
      </c>
      <c r="I464" t="s">
        <v>136</v>
      </c>
      <c r="K464" t="s">
        <v>72</v>
      </c>
      <c r="L464" t="s">
        <v>50</v>
      </c>
      <c r="M464" t="s">
        <v>301</v>
      </c>
      <c r="N464" t="s">
        <v>100</v>
      </c>
    </row>
    <row r="465" spans="1:14" ht="12.75">
      <c r="A465" t="str">
        <f>HYPERLINK("http://www.onsemi.com/PowerSolutions/product.do?id=MJD350","MJD350")</f>
        <v>MJD350</v>
      </c>
      <c r="B465" t="str">
        <f t="shared" si="18"/>
        <v>MJD340/D (74.0kB)</v>
      </c>
      <c r="C465" t="s">
        <v>69</v>
      </c>
      <c r="D465" t="s">
        <v>70</v>
      </c>
      <c r="E465" t="s">
        <v>365</v>
      </c>
      <c r="F465" t="s">
        <v>135</v>
      </c>
      <c r="G465" t="s">
        <v>48</v>
      </c>
      <c r="H465" t="s">
        <v>86</v>
      </c>
      <c r="I465" t="s">
        <v>136</v>
      </c>
      <c r="K465" t="s">
        <v>72</v>
      </c>
      <c r="L465" t="s">
        <v>59</v>
      </c>
      <c r="M465" t="s">
        <v>301</v>
      </c>
      <c r="N465" t="s">
        <v>128</v>
      </c>
    </row>
    <row r="466" spans="1:14" ht="12.75">
      <c r="A466" t="str">
        <f>HYPERLINK("http://www.onsemi.com/PowerSolutions/product.do?id=MJD350G","MJD350G")</f>
        <v>MJD350G</v>
      </c>
      <c r="B466" t="str">
        <f t="shared" si="18"/>
        <v>MJD340/D (74.0kB)</v>
      </c>
      <c r="C466" t="s">
        <v>19</v>
      </c>
      <c r="D466" t="s">
        <v>70</v>
      </c>
      <c r="E466" t="s">
        <v>365</v>
      </c>
      <c r="F466" t="s">
        <v>135</v>
      </c>
      <c r="G466" t="s">
        <v>48</v>
      </c>
      <c r="H466" t="s">
        <v>86</v>
      </c>
      <c r="I466" t="s">
        <v>136</v>
      </c>
      <c r="K466" t="s">
        <v>72</v>
      </c>
      <c r="L466" t="s">
        <v>59</v>
      </c>
      <c r="M466" t="s">
        <v>301</v>
      </c>
      <c r="N466" t="s">
        <v>366</v>
      </c>
    </row>
    <row r="467" spans="1:14" ht="12.75">
      <c r="A467" t="str">
        <f>HYPERLINK("http://www.onsemi.com/PowerSolutions/product.do?id=MJD350T4","MJD350T4")</f>
        <v>MJD350T4</v>
      </c>
      <c r="B467" t="str">
        <f t="shared" si="18"/>
        <v>MJD340/D (74.0kB)</v>
      </c>
      <c r="C467" t="s">
        <v>69</v>
      </c>
      <c r="D467" t="s">
        <v>70</v>
      </c>
      <c r="E467" t="s">
        <v>365</v>
      </c>
      <c r="F467" t="s">
        <v>135</v>
      </c>
      <c r="G467" t="s">
        <v>48</v>
      </c>
      <c r="H467" t="s">
        <v>86</v>
      </c>
      <c r="I467" t="s">
        <v>136</v>
      </c>
      <c r="K467" t="s">
        <v>72</v>
      </c>
      <c r="L467" t="s">
        <v>59</v>
      </c>
      <c r="M467" t="s">
        <v>301</v>
      </c>
      <c r="N467" t="s">
        <v>128</v>
      </c>
    </row>
    <row r="468" spans="1:14" ht="12.75">
      <c r="A468" t="str">
        <f>HYPERLINK("http://www.onsemi.com/PowerSolutions/product.do?id=MJD350T4G","MJD350T4G")</f>
        <v>MJD350T4G</v>
      </c>
      <c r="B468" t="str">
        <f t="shared" si="18"/>
        <v>MJD340/D (74.0kB)</v>
      </c>
      <c r="C468" t="s">
        <v>19</v>
      </c>
      <c r="D468" t="s">
        <v>70</v>
      </c>
      <c r="E468" t="s">
        <v>365</v>
      </c>
      <c r="F468" t="s">
        <v>135</v>
      </c>
      <c r="G468" t="s">
        <v>48</v>
      </c>
      <c r="H468" t="s">
        <v>86</v>
      </c>
      <c r="I468" t="s">
        <v>136</v>
      </c>
      <c r="K468" t="s">
        <v>72</v>
      </c>
      <c r="L468" t="s">
        <v>59</v>
      </c>
      <c r="M468" t="s">
        <v>301</v>
      </c>
      <c r="N468" t="s">
        <v>366</v>
      </c>
    </row>
    <row r="469" spans="1:14" ht="12.75">
      <c r="A469" t="str">
        <f>HYPERLINK("http://www.onsemi.com/PowerSolutions/product.do?id=MJD41CRL","MJD41CRL")</f>
        <v>MJD41CRL</v>
      </c>
      <c r="B469" t="str">
        <f aca="true" t="shared" si="19" ref="B469:B477">HYPERLINK("http://www.onsemi.com/pub/Collateral/MJD41C-D.PDF","MJD41C/D (78.0kB)")</f>
        <v>MJD41C/D (78.0kB)</v>
      </c>
      <c r="C469" t="s">
        <v>69</v>
      </c>
      <c r="D469" t="s">
        <v>70</v>
      </c>
      <c r="E469" t="s">
        <v>277</v>
      </c>
      <c r="F469" t="s">
        <v>40</v>
      </c>
      <c r="G469" t="s">
        <v>23</v>
      </c>
      <c r="H469" t="s">
        <v>72</v>
      </c>
      <c r="I469" t="s">
        <v>164</v>
      </c>
      <c r="J469" t="s">
        <v>22</v>
      </c>
      <c r="K469" t="s">
        <v>32</v>
      </c>
      <c r="L469" t="s">
        <v>50</v>
      </c>
      <c r="M469" t="s">
        <v>301</v>
      </c>
      <c r="N469" t="s">
        <v>100</v>
      </c>
    </row>
    <row r="470" spans="1:14" ht="12.75">
      <c r="A470" t="str">
        <f>HYPERLINK("http://www.onsemi.com/PowerSolutions/product.do?id=MJD41CRLG","MJD41CRLG")</f>
        <v>MJD41CRLG</v>
      </c>
      <c r="B470" t="str">
        <f t="shared" si="19"/>
        <v>MJD41C/D (78.0kB)</v>
      </c>
      <c r="C470" t="s">
        <v>19</v>
      </c>
      <c r="D470" t="s">
        <v>70</v>
      </c>
      <c r="E470" t="s">
        <v>277</v>
      </c>
      <c r="F470" t="s">
        <v>40</v>
      </c>
      <c r="G470" t="s">
        <v>23</v>
      </c>
      <c r="H470" t="s">
        <v>72</v>
      </c>
      <c r="I470" t="s">
        <v>164</v>
      </c>
      <c r="J470" t="s">
        <v>22</v>
      </c>
      <c r="K470" t="s">
        <v>32</v>
      </c>
      <c r="L470" t="s">
        <v>50</v>
      </c>
      <c r="M470" t="s">
        <v>301</v>
      </c>
      <c r="N470" t="s">
        <v>367</v>
      </c>
    </row>
    <row r="471" spans="1:14" ht="12.75">
      <c r="A471" t="str">
        <f>HYPERLINK("http://www.onsemi.com/PowerSolutions/product.do?id=MJD41CT4","MJD41CT4")</f>
        <v>MJD41CT4</v>
      </c>
      <c r="B471" t="str">
        <f t="shared" si="19"/>
        <v>MJD41C/D (78.0kB)</v>
      </c>
      <c r="C471" t="s">
        <v>69</v>
      </c>
      <c r="D471" t="s">
        <v>70</v>
      </c>
      <c r="E471" t="s">
        <v>277</v>
      </c>
      <c r="F471" t="s">
        <v>40</v>
      </c>
      <c r="G471" t="s">
        <v>23</v>
      </c>
      <c r="H471" t="s">
        <v>72</v>
      </c>
      <c r="I471" t="s">
        <v>164</v>
      </c>
      <c r="J471" t="s">
        <v>22</v>
      </c>
      <c r="K471" t="s">
        <v>32</v>
      </c>
      <c r="L471" t="s">
        <v>50</v>
      </c>
      <c r="M471" t="s">
        <v>301</v>
      </c>
      <c r="N471" t="s">
        <v>100</v>
      </c>
    </row>
    <row r="472" spans="1:14" ht="12.75">
      <c r="A472" t="str">
        <f>HYPERLINK("http://www.onsemi.com/PowerSolutions/product.do?id=MJD41CT4G","MJD41CT4G")</f>
        <v>MJD41CT4G</v>
      </c>
      <c r="B472" t="str">
        <f t="shared" si="19"/>
        <v>MJD41C/D (78.0kB)</v>
      </c>
      <c r="C472" t="s">
        <v>19</v>
      </c>
      <c r="D472" t="s">
        <v>70</v>
      </c>
      <c r="E472" t="s">
        <v>277</v>
      </c>
      <c r="F472" t="s">
        <v>40</v>
      </c>
      <c r="G472" t="s">
        <v>23</v>
      </c>
      <c r="H472" t="s">
        <v>72</v>
      </c>
      <c r="I472" t="s">
        <v>164</v>
      </c>
      <c r="J472" t="s">
        <v>22</v>
      </c>
      <c r="K472" t="s">
        <v>32</v>
      </c>
      <c r="L472" t="s">
        <v>50</v>
      </c>
      <c r="M472" t="s">
        <v>301</v>
      </c>
      <c r="N472" t="s">
        <v>100</v>
      </c>
    </row>
    <row r="473" spans="1:14" ht="12.75">
      <c r="A473" t="str">
        <f>HYPERLINK("http://www.onsemi.com/PowerSolutions/product.do?id=MJD42C1G","MJD42C1G")</f>
        <v>MJD42C1G</v>
      </c>
      <c r="B473" t="str">
        <f t="shared" si="19"/>
        <v>MJD41C/D (78.0kB)</v>
      </c>
      <c r="C473" t="s">
        <v>19</v>
      </c>
      <c r="D473" t="s">
        <v>70</v>
      </c>
      <c r="E473" t="s">
        <v>280</v>
      </c>
      <c r="F473" t="s">
        <v>40</v>
      </c>
      <c r="G473" t="s">
        <v>23</v>
      </c>
      <c r="H473" t="s">
        <v>72</v>
      </c>
      <c r="I473" t="s">
        <v>164</v>
      </c>
      <c r="J473" t="s">
        <v>22</v>
      </c>
      <c r="K473" t="s">
        <v>32</v>
      </c>
      <c r="L473" t="s">
        <v>59</v>
      </c>
      <c r="M473" t="s">
        <v>299</v>
      </c>
      <c r="N473" t="s">
        <v>100</v>
      </c>
    </row>
    <row r="474" spans="1:14" ht="12.75">
      <c r="A474" t="str">
        <f>HYPERLINK("http://www.onsemi.com/PowerSolutions/product.do?id=MJD42CG","MJD42CG")</f>
        <v>MJD42CG</v>
      </c>
      <c r="B474" t="str">
        <f t="shared" si="19"/>
        <v>MJD41C/D (78.0kB)</v>
      </c>
      <c r="C474" t="s">
        <v>19</v>
      </c>
      <c r="D474" t="s">
        <v>70</v>
      </c>
      <c r="E474" t="s">
        <v>280</v>
      </c>
      <c r="F474" t="s">
        <v>40</v>
      </c>
      <c r="G474" t="s">
        <v>23</v>
      </c>
      <c r="H474" t="s">
        <v>72</v>
      </c>
      <c r="I474" t="s">
        <v>164</v>
      </c>
      <c r="J474" t="s">
        <v>22</v>
      </c>
      <c r="K474" t="s">
        <v>32</v>
      </c>
      <c r="L474" t="s">
        <v>59</v>
      </c>
      <c r="M474" t="s">
        <v>301</v>
      </c>
      <c r="N474" t="s">
        <v>100</v>
      </c>
    </row>
    <row r="475" spans="1:14" ht="12.75">
      <c r="A475" t="str">
        <f>HYPERLINK("http://www.onsemi.com/PowerSolutions/product.do?id=MJD42CRLG","MJD42CRLG")</f>
        <v>MJD42CRLG</v>
      </c>
      <c r="B475" t="str">
        <f t="shared" si="19"/>
        <v>MJD41C/D (78.0kB)</v>
      </c>
      <c r="C475" t="s">
        <v>19</v>
      </c>
      <c r="D475" t="s">
        <v>70</v>
      </c>
      <c r="E475" t="s">
        <v>280</v>
      </c>
      <c r="F475" t="s">
        <v>40</v>
      </c>
      <c r="G475" t="s">
        <v>23</v>
      </c>
      <c r="H475" t="s">
        <v>72</v>
      </c>
      <c r="I475" t="s">
        <v>164</v>
      </c>
      <c r="J475" t="s">
        <v>22</v>
      </c>
      <c r="K475" t="s">
        <v>32</v>
      </c>
      <c r="L475" t="s">
        <v>59</v>
      </c>
      <c r="M475" t="s">
        <v>301</v>
      </c>
      <c r="N475" t="s">
        <v>100</v>
      </c>
    </row>
    <row r="476" spans="1:14" ht="12.75">
      <c r="A476" t="str">
        <f>HYPERLINK("http://www.onsemi.com/PowerSolutions/product.do?id=MJD42CT4","MJD42CT4")</f>
        <v>MJD42CT4</v>
      </c>
      <c r="B476" t="str">
        <f t="shared" si="19"/>
        <v>MJD41C/D (78.0kB)</v>
      </c>
      <c r="C476" t="s">
        <v>69</v>
      </c>
      <c r="D476" t="s">
        <v>70</v>
      </c>
      <c r="E476" t="s">
        <v>280</v>
      </c>
      <c r="F476" t="s">
        <v>40</v>
      </c>
      <c r="G476" t="s">
        <v>23</v>
      </c>
      <c r="H476" t="s">
        <v>72</v>
      </c>
      <c r="I476" t="s">
        <v>164</v>
      </c>
      <c r="J476" t="s">
        <v>22</v>
      </c>
      <c r="K476" t="s">
        <v>32</v>
      </c>
      <c r="L476" t="s">
        <v>59</v>
      </c>
      <c r="M476" t="s">
        <v>301</v>
      </c>
      <c r="N476" t="s">
        <v>100</v>
      </c>
    </row>
    <row r="477" spans="1:14" ht="12.75">
      <c r="A477" t="str">
        <f>HYPERLINK("http://www.onsemi.com/PowerSolutions/product.do?id=MJD42CT4G","MJD42CT4G")</f>
        <v>MJD42CT4G</v>
      </c>
      <c r="B477" t="str">
        <f t="shared" si="19"/>
        <v>MJD41C/D (78.0kB)</v>
      </c>
      <c r="C477" t="s">
        <v>19</v>
      </c>
      <c r="D477" t="s">
        <v>70</v>
      </c>
      <c r="E477" t="s">
        <v>280</v>
      </c>
      <c r="F477" t="s">
        <v>40</v>
      </c>
      <c r="G477" t="s">
        <v>23</v>
      </c>
      <c r="H477" t="s">
        <v>72</v>
      </c>
      <c r="I477" t="s">
        <v>164</v>
      </c>
      <c r="J477" t="s">
        <v>22</v>
      </c>
      <c r="K477" t="s">
        <v>32</v>
      </c>
      <c r="L477" t="s">
        <v>59</v>
      </c>
      <c r="M477" t="s">
        <v>301</v>
      </c>
      <c r="N477" t="s">
        <v>368</v>
      </c>
    </row>
    <row r="478" spans="1:14" ht="12.75">
      <c r="A478" t="str">
        <f>HYPERLINK("http://www.onsemi.com/PowerSolutions/product.do?id=MJD44E3T4","MJD44E3T4")</f>
        <v>MJD44E3T4</v>
      </c>
      <c r="B478" t="str">
        <f>HYPERLINK("http://www.onsemi.com/pub/Collateral/MJD44E3-D.PDF","MJD44E3/D (93.0kB)")</f>
        <v>MJD44E3/D (93.0kB)</v>
      </c>
      <c r="C478" t="s">
        <v>69</v>
      </c>
      <c r="D478" t="s">
        <v>70</v>
      </c>
      <c r="E478" t="s">
        <v>288</v>
      </c>
      <c r="F478" t="s">
        <v>79</v>
      </c>
      <c r="G478" t="s">
        <v>111</v>
      </c>
      <c r="H478" t="s">
        <v>369</v>
      </c>
      <c r="K478" t="s">
        <v>32</v>
      </c>
      <c r="L478" t="s">
        <v>50</v>
      </c>
      <c r="M478" t="s">
        <v>301</v>
      </c>
      <c r="N478" t="s">
        <v>370</v>
      </c>
    </row>
    <row r="479" spans="1:14" ht="12.75">
      <c r="A479" t="str">
        <f>HYPERLINK("http://www.onsemi.com/PowerSolutions/product.do?id=MJD44E3T4G","MJD44E3T4G")</f>
        <v>MJD44E3T4G</v>
      </c>
      <c r="B479" t="str">
        <f>HYPERLINK("http://www.onsemi.com/pub/Collateral/MJD44E3-D.PDF","MJD44E3/D (93.0kB)")</f>
        <v>MJD44E3/D (93.0kB)</v>
      </c>
      <c r="C479" t="s">
        <v>19</v>
      </c>
      <c r="D479" t="s">
        <v>70</v>
      </c>
      <c r="E479" t="s">
        <v>288</v>
      </c>
      <c r="F479" t="s">
        <v>79</v>
      </c>
      <c r="G479" t="s">
        <v>111</v>
      </c>
      <c r="H479" t="s">
        <v>369</v>
      </c>
      <c r="K479" t="s">
        <v>32</v>
      </c>
      <c r="L479" t="s">
        <v>50</v>
      </c>
      <c r="M479" t="s">
        <v>301</v>
      </c>
      <c r="N479" t="s">
        <v>360</v>
      </c>
    </row>
    <row r="480" spans="1:14" ht="12.75">
      <c r="A480" t="str">
        <f>HYPERLINK("http://www.onsemi.com/PowerSolutions/product.do?id=MJD44H11","MJD44H11")</f>
        <v>MJD44H11</v>
      </c>
      <c r="B480" t="str">
        <f aca="true" t="shared" si="20" ref="B480:B494">HYPERLINK("http://www.onsemi.com/pub/Collateral/MJD44H11-D.PDF","MJD44H11/D (90.0kB)")</f>
        <v>MJD44H11/D (90.0kB)</v>
      </c>
      <c r="C480" t="s">
        <v>69</v>
      </c>
      <c r="D480" t="s">
        <v>70</v>
      </c>
      <c r="E480" t="s">
        <v>349</v>
      </c>
      <c r="F480" t="s">
        <v>306</v>
      </c>
      <c r="G480" t="s">
        <v>111</v>
      </c>
      <c r="H480" t="s">
        <v>73</v>
      </c>
      <c r="K480" t="s">
        <v>32</v>
      </c>
      <c r="L480" t="s">
        <v>50</v>
      </c>
      <c r="M480" t="s">
        <v>301</v>
      </c>
      <c r="N480" t="s">
        <v>100</v>
      </c>
    </row>
    <row r="481" spans="1:14" ht="12.75">
      <c r="A481" t="str">
        <f>HYPERLINK("http://www.onsemi.com/PowerSolutions/product.do?id=MJD44H11-1G","MJD44H11-1G")</f>
        <v>MJD44H11-1G</v>
      </c>
      <c r="B481" t="str">
        <f t="shared" si="20"/>
        <v>MJD44H11/D (90.0kB)</v>
      </c>
      <c r="C481" t="s">
        <v>19</v>
      </c>
      <c r="D481" t="s">
        <v>70</v>
      </c>
      <c r="E481" t="s">
        <v>349</v>
      </c>
      <c r="F481" t="s">
        <v>306</v>
      </c>
      <c r="G481" t="s">
        <v>111</v>
      </c>
      <c r="H481" t="s">
        <v>73</v>
      </c>
      <c r="K481" t="s">
        <v>32</v>
      </c>
      <c r="L481" t="s">
        <v>50</v>
      </c>
      <c r="M481" t="s">
        <v>299</v>
      </c>
      <c r="N481" t="s">
        <v>100</v>
      </c>
    </row>
    <row r="482" spans="1:14" ht="12.75">
      <c r="A482" t="str">
        <f>HYPERLINK("http://www.onsemi.com/PowerSolutions/product.do?id=MJD44H11G","MJD44H11G")</f>
        <v>MJD44H11G</v>
      </c>
      <c r="B482" t="str">
        <f t="shared" si="20"/>
        <v>MJD44H11/D (90.0kB)</v>
      </c>
      <c r="C482" t="s">
        <v>19</v>
      </c>
      <c r="D482" t="s">
        <v>70</v>
      </c>
      <c r="E482" t="s">
        <v>349</v>
      </c>
      <c r="F482" t="s">
        <v>306</v>
      </c>
      <c r="G482" t="s">
        <v>111</v>
      </c>
      <c r="H482" t="s">
        <v>73</v>
      </c>
      <c r="K482" t="s">
        <v>32</v>
      </c>
      <c r="L482" t="s">
        <v>50</v>
      </c>
      <c r="M482" t="s">
        <v>301</v>
      </c>
      <c r="N482" t="s">
        <v>100</v>
      </c>
    </row>
    <row r="483" spans="1:14" ht="12.75">
      <c r="A483" t="str">
        <f>HYPERLINK("http://www.onsemi.com/PowerSolutions/product.do?id=MJD44H11RL","MJD44H11RL")</f>
        <v>MJD44H11RL</v>
      </c>
      <c r="B483" t="str">
        <f t="shared" si="20"/>
        <v>MJD44H11/D (90.0kB)</v>
      </c>
      <c r="C483" t="s">
        <v>69</v>
      </c>
      <c r="D483" t="s">
        <v>70</v>
      </c>
      <c r="E483" t="s">
        <v>349</v>
      </c>
      <c r="F483" t="s">
        <v>306</v>
      </c>
      <c r="G483" t="s">
        <v>111</v>
      </c>
      <c r="H483" t="s">
        <v>73</v>
      </c>
      <c r="K483" t="s">
        <v>32</v>
      </c>
      <c r="L483" t="s">
        <v>50</v>
      </c>
      <c r="M483" t="s">
        <v>301</v>
      </c>
      <c r="N483" t="s">
        <v>100</v>
      </c>
    </row>
    <row r="484" spans="1:14" ht="12.75">
      <c r="A484" t="str">
        <f>HYPERLINK("http://www.onsemi.com/PowerSolutions/product.do?id=MJD44H11RLG","MJD44H11RLG")</f>
        <v>MJD44H11RLG</v>
      </c>
      <c r="B484" t="str">
        <f t="shared" si="20"/>
        <v>MJD44H11/D (90.0kB)</v>
      </c>
      <c r="C484" t="s">
        <v>19</v>
      </c>
      <c r="D484" t="s">
        <v>70</v>
      </c>
      <c r="E484" t="s">
        <v>349</v>
      </c>
      <c r="F484" t="s">
        <v>306</v>
      </c>
      <c r="G484" t="s">
        <v>111</v>
      </c>
      <c r="H484" t="s">
        <v>73</v>
      </c>
      <c r="K484" t="s">
        <v>32</v>
      </c>
      <c r="L484" t="s">
        <v>50</v>
      </c>
      <c r="M484" t="s">
        <v>301</v>
      </c>
      <c r="N484" t="s">
        <v>100</v>
      </c>
    </row>
    <row r="485" spans="1:14" ht="12.75">
      <c r="A485" t="str">
        <f>HYPERLINK("http://www.onsemi.com/PowerSolutions/product.do?id=MJD44H11T4","MJD44H11T4")</f>
        <v>MJD44H11T4</v>
      </c>
      <c r="B485" t="str">
        <f t="shared" si="20"/>
        <v>MJD44H11/D (90.0kB)</v>
      </c>
      <c r="C485" t="s">
        <v>69</v>
      </c>
      <c r="D485" t="s">
        <v>70</v>
      </c>
      <c r="E485" t="s">
        <v>349</v>
      </c>
      <c r="F485" t="s">
        <v>306</v>
      </c>
      <c r="G485" t="s">
        <v>111</v>
      </c>
      <c r="H485" t="s">
        <v>73</v>
      </c>
      <c r="K485" t="s">
        <v>32</v>
      </c>
      <c r="L485" t="s">
        <v>50</v>
      </c>
      <c r="M485" t="s">
        <v>301</v>
      </c>
      <c r="N485" t="s">
        <v>100</v>
      </c>
    </row>
    <row r="486" spans="1:14" ht="12.75">
      <c r="A486" t="str">
        <f>HYPERLINK("http://www.onsemi.com/PowerSolutions/product.do?id=MJD44H11T4G","MJD44H11T4G")</f>
        <v>MJD44H11T4G</v>
      </c>
      <c r="B486" t="str">
        <f t="shared" si="20"/>
        <v>MJD44H11/D (90.0kB)</v>
      </c>
      <c r="C486" t="s">
        <v>19</v>
      </c>
      <c r="D486" t="s">
        <v>70</v>
      </c>
      <c r="E486" t="s">
        <v>349</v>
      </c>
      <c r="F486" t="s">
        <v>306</v>
      </c>
      <c r="G486" t="s">
        <v>111</v>
      </c>
      <c r="H486" t="s">
        <v>73</v>
      </c>
      <c r="K486" t="s">
        <v>32</v>
      </c>
      <c r="L486" t="s">
        <v>50</v>
      </c>
      <c r="M486" t="s">
        <v>301</v>
      </c>
      <c r="N486" t="s">
        <v>371</v>
      </c>
    </row>
    <row r="487" spans="1:14" ht="12.75">
      <c r="A487" t="str">
        <f>HYPERLINK("http://www.onsemi.com/PowerSolutions/product.do?id=MJD44H11T5G","MJD44H11T5G")</f>
        <v>MJD44H11T5G</v>
      </c>
      <c r="B487" t="str">
        <f t="shared" si="20"/>
        <v>MJD44H11/D (90.0kB)</v>
      </c>
      <c r="C487" t="s">
        <v>19</v>
      </c>
      <c r="D487" t="s">
        <v>70</v>
      </c>
      <c r="E487" t="s">
        <v>349</v>
      </c>
      <c r="F487" t="s">
        <v>306</v>
      </c>
      <c r="G487" t="s">
        <v>111</v>
      </c>
      <c r="H487" t="s">
        <v>73</v>
      </c>
      <c r="K487" t="s">
        <v>32</v>
      </c>
      <c r="L487" t="s">
        <v>50</v>
      </c>
      <c r="M487" t="s">
        <v>301</v>
      </c>
      <c r="N487" t="s">
        <v>100</v>
      </c>
    </row>
    <row r="488" spans="1:14" ht="12.75">
      <c r="A488" t="str">
        <f>HYPERLINK("http://www.onsemi.com/PowerSolutions/product.do?id=MJD45H11","MJD45H11")</f>
        <v>MJD45H11</v>
      </c>
      <c r="B488" t="str">
        <f t="shared" si="20"/>
        <v>MJD44H11/D (90.0kB)</v>
      </c>
      <c r="C488" t="s">
        <v>69</v>
      </c>
      <c r="D488" t="s">
        <v>70</v>
      </c>
      <c r="E488" t="s">
        <v>351</v>
      </c>
      <c r="F488" t="s">
        <v>306</v>
      </c>
      <c r="G488" t="s">
        <v>111</v>
      </c>
      <c r="H488" t="s">
        <v>73</v>
      </c>
      <c r="K488" t="s">
        <v>32</v>
      </c>
      <c r="L488" t="s">
        <v>59</v>
      </c>
      <c r="M488" t="s">
        <v>301</v>
      </c>
      <c r="N488" t="s">
        <v>165</v>
      </c>
    </row>
    <row r="489" spans="1:14" ht="12.75">
      <c r="A489" t="str">
        <f>HYPERLINK("http://www.onsemi.com/PowerSolutions/product.do?id=MJD45H11-1G","MJD45H11-1G")</f>
        <v>MJD45H11-1G</v>
      </c>
      <c r="B489" t="str">
        <f t="shared" si="20"/>
        <v>MJD44H11/D (90.0kB)</v>
      </c>
      <c r="C489" t="s">
        <v>19</v>
      </c>
      <c r="D489" t="s">
        <v>70</v>
      </c>
      <c r="E489" t="s">
        <v>351</v>
      </c>
      <c r="F489" t="s">
        <v>306</v>
      </c>
      <c r="G489" t="s">
        <v>111</v>
      </c>
      <c r="H489" t="s">
        <v>73</v>
      </c>
      <c r="K489" t="s">
        <v>32</v>
      </c>
      <c r="L489" t="s">
        <v>59</v>
      </c>
      <c r="M489" t="s">
        <v>299</v>
      </c>
      <c r="N489" t="s">
        <v>372</v>
      </c>
    </row>
    <row r="490" spans="1:14" ht="12.75">
      <c r="A490" t="str">
        <f>HYPERLINK("http://www.onsemi.com/PowerSolutions/product.do?id=MJD45H11G","MJD45H11G")</f>
        <v>MJD45H11G</v>
      </c>
      <c r="B490" t="str">
        <f t="shared" si="20"/>
        <v>MJD44H11/D (90.0kB)</v>
      </c>
      <c r="C490" t="s">
        <v>19</v>
      </c>
      <c r="D490" t="s">
        <v>70</v>
      </c>
      <c r="E490" t="s">
        <v>351</v>
      </c>
      <c r="F490" t="s">
        <v>306</v>
      </c>
      <c r="G490" t="s">
        <v>111</v>
      </c>
      <c r="H490" t="s">
        <v>73</v>
      </c>
      <c r="K490" t="s">
        <v>32</v>
      </c>
      <c r="L490" t="s">
        <v>59</v>
      </c>
      <c r="M490" t="s">
        <v>301</v>
      </c>
      <c r="N490" t="s">
        <v>372</v>
      </c>
    </row>
    <row r="491" spans="1:14" ht="12.75">
      <c r="A491" t="str">
        <f>HYPERLINK("http://www.onsemi.com/PowerSolutions/product.do?id=MJD45H11RL","MJD45H11RL")</f>
        <v>MJD45H11RL</v>
      </c>
      <c r="B491" t="str">
        <f t="shared" si="20"/>
        <v>MJD44H11/D (90.0kB)</v>
      </c>
      <c r="C491" t="s">
        <v>69</v>
      </c>
      <c r="D491" t="s">
        <v>70</v>
      </c>
      <c r="E491" t="s">
        <v>351</v>
      </c>
      <c r="F491" t="s">
        <v>306</v>
      </c>
      <c r="G491" t="s">
        <v>111</v>
      </c>
      <c r="H491" t="s">
        <v>73</v>
      </c>
      <c r="K491" t="s">
        <v>32</v>
      </c>
      <c r="L491" t="s">
        <v>59</v>
      </c>
      <c r="M491" t="s">
        <v>301</v>
      </c>
      <c r="N491" t="s">
        <v>165</v>
      </c>
    </row>
    <row r="492" spans="1:14" ht="12.75">
      <c r="A492" t="str">
        <f>HYPERLINK("http://www.onsemi.com/PowerSolutions/product.do?id=MJD45H11RLG","MJD45H11RLG")</f>
        <v>MJD45H11RLG</v>
      </c>
      <c r="B492" t="str">
        <f t="shared" si="20"/>
        <v>MJD44H11/D (90.0kB)</v>
      </c>
      <c r="C492" t="s">
        <v>19</v>
      </c>
      <c r="D492" t="s">
        <v>70</v>
      </c>
      <c r="E492" t="s">
        <v>351</v>
      </c>
      <c r="F492" t="s">
        <v>306</v>
      </c>
      <c r="G492" t="s">
        <v>111</v>
      </c>
      <c r="H492" t="s">
        <v>73</v>
      </c>
      <c r="K492" t="s">
        <v>32</v>
      </c>
      <c r="L492" t="s">
        <v>59</v>
      </c>
      <c r="M492" t="s">
        <v>301</v>
      </c>
      <c r="N492" t="s">
        <v>372</v>
      </c>
    </row>
    <row r="493" spans="1:14" ht="12.75">
      <c r="A493" t="str">
        <f>HYPERLINK("http://www.onsemi.com/PowerSolutions/product.do?id=MJD45H11T4","MJD45H11T4")</f>
        <v>MJD45H11T4</v>
      </c>
      <c r="B493" t="str">
        <f t="shared" si="20"/>
        <v>MJD44H11/D (90.0kB)</v>
      </c>
      <c r="C493" t="s">
        <v>69</v>
      </c>
      <c r="D493" t="s">
        <v>70</v>
      </c>
      <c r="E493" t="s">
        <v>351</v>
      </c>
      <c r="F493" t="s">
        <v>306</v>
      </c>
      <c r="G493" t="s">
        <v>111</v>
      </c>
      <c r="H493" t="s">
        <v>73</v>
      </c>
      <c r="K493" t="s">
        <v>32</v>
      </c>
      <c r="L493" t="s">
        <v>59</v>
      </c>
      <c r="M493" t="s">
        <v>301</v>
      </c>
      <c r="N493" t="s">
        <v>165</v>
      </c>
    </row>
    <row r="494" spans="1:14" ht="12.75">
      <c r="A494" t="str">
        <f>HYPERLINK("http://www.onsemi.com/PowerSolutions/product.do?id=MJD45H11T4G","MJD45H11T4G")</f>
        <v>MJD45H11T4G</v>
      </c>
      <c r="B494" t="str">
        <f t="shared" si="20"/>
        <v>MJD44H11/D (90.0kB)</v>
      </c>
      <c r="C494" t="s">
        <v>19</v>
      </c>
      <c r="D494" t="s">
        <v>70</v>
      </c>
      <c r="E494" t="s">
        <v>351</v>
      </c>
      <c r="F494" t="s">
        <v>306</v>
      </c>
      <c r="G494" t="s">
        <v>111</v>
      </c>
      <c r="H494" t="s">
        <v>73</v>
      </c>
      <c r="K494" t="s">
        <v>32</v>
      </c>
      <c r="L494" t="s">
        <v>59</v>
      </c>
      <c r="M494" t="s">
        <v>301</v>
      </c>
      <c r="N494" t="s">
        <v>372</v>
      </c>
    </row>
    <row r="495" spans="1:14" ht="12.75">
      <c r="A495" t="str">
        <f>HYPERLINK("http://www.onsemi.com/PowerSolutions/product.do?id=MJD47G","MJD47G")</f>
        <v>MJD47G</v>
      </c>
      <c r="B495" t="str">
        <f aca="true" t="shared" si="21" ref="B495:B500">HYPERLINK("http://www.onsemi.com/pub/Collateral/MJD47-D.PDF","MJD47/D (70.0kB)")</f>
        <v>MJD47/D (70.0kB)</v>
      </c>
      <c r="C495" t="s">
        <v>19</v>
      </c>
      <c r="D495" t="s">
        <v>70</v>
      </c>
      <c r="E495" t="s">
        <v>139</v>
      </c>
      <c r="F495" t="s">
        <v>31</v>
      </c>
      <c r="G495" t="s">
        <v>58</v>
      </c>
      <c r="H495" t="s">
        <v>86</v>
      </c>
      <c r="I495" t="s">
        <v>88</v>
      </c>
      <c r="J495" t="s">
        <v>79</v>
      </c>
      <c r="K495" t="s">
        <v>72</v>
      </c>
      <c r="L495" t="s">
        <v>50</v>
      </c>
      <c r="M495" t="s">
        <v>301</v>
      </c>
      <c r="N495" t="s">
        <v>140</v>
      </c>
    </row>
    <row r="496" spans="1:14" ht="12.75">
      <c r="A496" t="str">
        <f>HYPERLINK("http://www.onsemi.com/PowerSolutions/product.do?id=MJD47T4","MJD47T4")</f>
        <v>MJD47T4</v>
      </c>
      <c r="B496" t="str">
        <f t="shared" si="21"/>
        <v>MJD47/D (70.0kB)</v>
      </c>
      <c r="C496" t="s">
        <v>69</v>
      </c>
      <c r="D496" t="s">
        <v>70</v>
      </c>
      <c r="E496" t="s">
        <v>139</v>
      </c>
      <c r="F496" t="s">
        <v>31</v>
      </c>
      <c r="G496" t="s">
        <v>58</v>
      </c>
      <c r="H496" t="s">
        <v>86</v>
      </c>
      <c r="I496" t="s">
        <v>88</v>
      </c>
      <c r="J496" t="s">
        <v>79</v>
      </c>
      <c r="K496" t="s">
        <v>72</v>
      </c>
      <c r="L496" t="s">
        <v>50</v>
      </c>
      <c r="M496" t="s">
        <v>301</v>
      </c>
      <c r="N496" t="s">
        <v>154</v>
      </c>
    </row>
    <row r="497" spans="1:14" ht="12.75">
      <c r="A497" t="str">
        <f>HYPERLINK("http://www.onsemi.com/PowerSolutions/product.do?id=MJD47T4G","MJD47T4G")</f>
        <v>MJD47T4G</v>
      </c>
      <c r="B497" t="str">
        <f t="shared" si="21"/>
        <v>MJD47/D (70.0kB)</v>
      </c>
      <c r="C497" t="s">
        <v>19</v>
      </c>
      <c r="D497" t="s">
        <v>70</v>
      </c>
      <c r="E497" t="s">
        <v>139</v>
      </c>
      <c r="F497" t="s">
        <v>31</v>
      </c>
      <c r="G497" t="s">
        <v>58</v>
      </c>
      <c r="H497" t="s">
        <v>86</v>
      </c>
      <c r="I497" t="s">
        <v>88</v>
      </c>
      <c r="J497" t="s">
        <v>79</v>
      </c>
      <c r="K497" t="s">
        <v>72</v>
      </c>
      <c r="L497" t="s">
        <v>50</v>
      </c>
      <c r="M497" t="s">
        <v>301</v>
      </c>
      <c r="N497" t="s">
        <v>140</v>
      </c>
    </row>
    <row r="498" spans="1:14" ht="12.75">
      <c r="A498" t="str">
        <f>HYPERLINK("http://www.onsemi.com/PowerSolutions/product.do?id=MJD50G","MJD50G")</f>
        <v>MJD50G</v>
      </c>
      <c r="B498" t="str">
        <f t="shared" si="21"/>
        <v>MJD47/D (70.0kB)</v>
      </c>
      <c r="C498" t="s">
        <v>19</v>
      </c>
      <c r="D498" t="s">
        <v>70</v>
      </c>
      <c r="E498" t="s">
        <v>373</v>
      </c>
      <c r="F498" t="s">
        <v>31</v>
      </c>
      <c r="G498" t="s">
        <v>125</v>
      </c>
      <c r="H498" t="s">
        <v>86</v>
      </c>
      <c r="I498" t="s">
        <v>88</v>
      </c>
      <c r="J498" t="s">
        <v>79</v>
      </c>
      <c r="K498" t="s">
        <v>72</v>
      </c>
      <c r="L498" t="s">
        <v>50</v>
      </c>
      <c r="M498" t="s">
        <v>301</v>
      </c>
      <c r="N498" t="s">
        <v>140</v>
      </c>
    </row>
    <row r="499" spans="1:14" ht="12.75">
      <c r="A499" t="str">
        <f>HYPERLINK("http://www.onsemi.com/PowerSolutions/product.do?id=MJD50T4","MJD50T4")</f>
        <v>MJD50T4</v>
      </c>
      <c r="B499" t="str">
        <f t="shared" si="21"/>
        <v>MJD47/D (70.0kB)</v>
      </c>
      <c r="C499" t="s">
        <v>69</v>
      </c>
      <c r="D499" t="s">
        <v>70</v>
      </c>
      <c r="E499" t="s">
        <v>373</v>
      </c>
      <c r="F499" t="s">
        <v>31</v>
      </c>
      <c r="G499" t="s">
        <v>125</v>
      </c>
      <c r="H499" t="s">
        <v>86</v>
      </c>
      <c r="I499" t="s">
        <v>88</v>
      </c>
      <c r="J499" t="s">
        <v>79</v>
      </c>
      <c r="K499" t="s">
        <v>72</v>
      </c>
      <c r="L499" t="s">
        <v>50</v>
      </c>
      <c r="M499" t="s">
        <v>301</v>
      </c>
      <c r="N499" t="s">
        <v>154</v>
      </c>
    </row>
    <row r="500" spans="1:14" ht="12.75">
      <c r="A500" t="str">
        <f>HYPERLINK("http://www.onsemi.com/PowerSolutions/product.do?id=MJD50T4G","MJD50T4G")</f>
        <v>MJD50T4G</v>
      </c>
      <c r="B500" t="str">
        <f t="shared" si="21"/>
        <v>MJD47/D (70.0kB)</v>
      </c>
      <c r="C500" t="s">
        <v>19</v>
      </c>
      <c r="D500" t="s">
        <v>70</v>
      </c>
      <c r="E500" t="s">
        <v>373</v>
      </c>
      <c r="F500" t="s">
        <v>31</v>
      </c>
      <c r="G500" t="s">
        <v>125</v>
      </c>
      <c r="H500" t="s">
        <v>86</v>
      </c>
      <c r="I500" t="s">
        <v>88</v>
      </c>
      <c r="J500" t="s">
        <v>79</v>
      </c>
      <c r="K500" t="s">
        <v>72</v>
      </c>
      <c r="L500" t="s">
        <v>50</v>
      </c>
      <c r="M500" t="s">
        <v>301</v>
      </c>
      <c r="N500" t="s">
        <v>140</v>
      </c>
    </row>
    <row r="501" spans="1:14" ht="12.75">
      <c r="A501" t="str">
        <f>HYPERLINK("http://www.onsemi.com/PowerSolutions/product.do?id=MJD5731T4G","MJD5731T4G")</f>
        <v>MJD5731T4G</v>
      </c>
      <c r="B501" t="str">
        <f>HYPERLINK("http://www.onsemi.com/pub/Collateral/MJD5731-D.PDF","MJD5731/D (75.0kB)")</f>
        <v>MJD5731/D (75.0kB)</v>
      </c>
      <c r="C501" t="s">
        <v>19</v>
      </c>
      <c r="D501" t="s">
        <v>70</v>
      </c>
      <c r="E501" t="s">
        <v>374</v>
      </c>
      <c r="F501" t="s">
        <v>31</v>
      </c>
      <c r="G501" t="s">
        <v>35</v>
      </c>
      <c r="H501" t="s">
        <v>86</v>
      </c>
      <c r="I501" t="s">
        <v>375</v>
      </c>
      <c r="J501" t="s">
        <v>79</v>
      </c>
      <c r="K501" t="s">
        <v>72</v>
      </c>
      <c r="L501" t="s">
        <v>59</v>
      </c>
      <c r="M501" t="s">
        <v>301</v>
      </c>
      <c r="N501" t="s">
        <v>360</v>
      </c>
    </row>
    <row r="502" spans="1:14" ht="12.75">
      <c r="A502" t="str">
        <f>HYPERLINK("http://www.onsemi.com/PowerSolutions/product.do?id=MJE13003","MJE13003")</f>
        <v>MJE13003</v>
      </c>
      <c r="B502" t="str">
        <f>HYPERLINK("http://www.onsemi.com/pub/Collateral/MJE13003-D.PDF","MJE13003/D (107.0kB)")</f>
        <v>MJE13003/D (107.0kB)</v>
      </c>
      <c r="C502" t="s">
        <v>69</v>
      </c>
      <c r="D502" t="s">
        <v>70</v>
      </c>
      <c r="E502" t="s">
        <v>376</v>
      </c>
      <c r="F502" t="s">
        <v>176</v>
      </c>
      <c r="G502" t="s">
        <v>125</v>
      </c>
      <c r="H502" t="s">
        <v>163</v>
      </c>
      <c r="I502" t="s">
        <v>102</v>
      </c>
      <c r="J502" t="s">
        <v>94</v>
      </c>
      <c r="K502" t="s">
        <v>41</v>
      </c>
      <c r="L502" t="s">
        <v>50</v>
      </c>
      <c r="M502" t="s">
        <v>106</v>
      </c>
      <c r="N502" t="s">
        <v>366</v>
      </c>
    </row>
    <row r="503" spans="1:14" ht="12.75">
      <c r="A503" t="str">
        <f>HYPERLINK("http://www.onsemi.com/PowerSolutions/product.do?id=MJE13003G","MJE13003G")</f>
        <v>MJE13003G</v>
      </c>
      <c r="B503" t="str">
        <f>HYPERLINK("http://www.onsemi.com/pub/Collateral/MJE13003-D.PDF","MJE13003/D (107.0kB)")</f>
        <v>MJE13003/D (107.0kB)</v>
      </c>
      <c r="C503" t="s">
        <v>19</v>
      </c>
      <c r="D503" t="s">
        <v>70</v>
      </c>
      <c r="E503" t="s">
        <v>376</v>
      </c>
      <c r="F503" t="s">
        <v>176</v>
      </c>
      <c r="G503" t="s">
        <v>125</v>
      </c>
      <c r="H503" t="s">
        <v>163</v>
      </c>
      <c r="I503" t="s">
        <v>102</v>
      </c>
      <c r="J503" t="s">
        <v>94</v>
      </c>
      <c r="K503" t="s">
        <v>41</v>
      </c>
      <c r="L503" t="s">
        <v>50</v>
      </c>
      <c r="M503" t="s">
        <v>106</v>
      </c>
      <c r="N503" t="s">
        <v>29</v>
      </c>
    </row>
    <row r="504" spans="1:14" ht="12.75">
      <c r="A504" t="str">
        <f>HYPERLINK("http://www.onsemi.com/PowerSolutions/product.do?id=MJE13005","MJE13005")</f>
        <v>MJE13005</v>
      </c>
      <c r="B504" t="str">
        <f>HYPERLINK("http://www.onsemi.com/pub/Collateral/MJE13005-D.PDF","MJE13005/D (105.0kB)")</f>
        <v>MJE13005/D (105.0kB)</v>
      </c>
      <c r="C504" t="s">
        <v>69</v>
      </c>
      <c r="D504" t="s">
        <v>70</v>
      </c>
      <c r="E504" t="s">
        <v>377</v>
      </c>
      <c r="F504" t="s">
        <v>94</v>
      </c>
      <c r="G504" t="s">
        <v>125</v>
      </c>
      <c r="H504" t="s">
        <v>306</v>
      </c>
      <c r="I504" t="s">
        <v>41</v>
      </c>
      <c r="J504" t="s">
        <v>94</v>
      </c>
      <c r="K504" t="s">
        <v>164</v>
      </c>
      <c r="L504" t="s">
        <v>50</v>
      </c>
      <c r="M504" t="s">
        <v>153</v>
      </c>
      <c r="N504" t="s">
        <v>173</v>
      </c>
    </row>
    <row r="505" spans="1:14" ht="12.75">
      <c r="A505" t="str">
        <f>HYPERLINK("http://www.onsemi.com/PowerSolutions/product.do?id=MJE13005G","MJE13005G")</f>
        <v>MJE13005G</v>
      </c>
      <c r="B505" t="str">
        <f>HYPERLINK("http://www.onsemi.com/pub/Collateral/MJE13005-D.PDF","MJE13005/D (105.0kB)")</f>
        <v>MJE13005/D (105.0kB)</v>
      </c>
      <c r="C505" t="s">
        <v>19</v>
      </c>
      <c r="D505" t="s">
        <v>70</v>
      </c>
      <c r="E505" t="s">
        <v>377</v>
      </c>
      <c r="F505" t="s">
        <v>94</v>
      </c>
      <c r="G505" t="s">
        <v>125</v>
      </c>
      <c r="H505" t="s">
        <v>306</v>
      </c>
      <c r="I505" t="s">
        <v>41</v>
      </c>
      <c r="J505" t="s">
        <v>94</v>
      </c>
      <c r="K505" t="s">
        <v>164</v>
      </c>
      <c r="L505" t="s">
        <v>50</v>
      </c>
      <c r="M505" t="s">
        <v>153</v>
      </c>
      <c r="N505" t="s">
        <v>285</v>
      </c>
    </row>
    <row r="506" spans="1:14" ht="12.75">
      <c r="A506" t="str">
        <f>HYPERLINK("http://www.onsemi.com/PowerSolutions/product.do?id=MJE13007G","MJE13007G")</f>
        <v>MJE13007G</v>
      </c>
      <c r="B506" t="str">
        <f>HYPERLINK("http://www.onsemi.com/pub/Collateral/MJE13007-D.PDF","MJE13007/D (122.0kB)")</f>
        <v>MJE13007/D (122.0kB)</v>
      </c>
      <c r="C506" t="s">
        <v>19</v>
      </c>
      <c r="D506" t="s">
        <v>70</v>
      </c>
      <c r="E506" t="s">
        <v>378</v>
      </c>
      <c r="F506" t="s">
        <v>306</v>
      </c>
      <c r="G506" t="s">
        <v>125</v>
      </c>
      <c r="H506" t="s">
        <v>163</v>
      </c>
      <c r="I506" t="s">
        <v>86</v>
      </c>
      <c r="J506" t="s">
        <v>94</v>
      </c>
      <c r="K506" t="s">
        <v>111</v>
      </c>
      <c r="L506" t="s">
        <v>50</v>
      </c>
      <c r="M506" t="s">
        <v>153</v>
      </c>
      <c r="N506" t="s">
        <v>165</v>
      </c>
    </row>
    <row r="507" spans="1:14" ht="12.75">
      <c r="A507" t="str">
        <f>HYPERLINK("http://www.onsemi.com/PowerSolutions/product.do?id=MJE13009G","MJE13009G")</f>
        <v>MJE13009G</v>
      </c>
      <c r="B507" t="str">
        <f>HYPERLINK("http://www.onsemi.com/pub/Collateral/MJE13009-D.PDF","MJE13009/D (148.0kB)")</f>
        <v>MJE13009/D (148.0kB)</v>
      </c>
      <c r="C507" t="s">
        <v>19</v>
      </c>
      <c r="D507" t="s">
        <v>70</v>
      </c>
      <c r="E507" t="s">
        <v>379</v>
      </c>
      <c r="F507" t="s">
        <v>325</v>
      </c>
      <c r="G507" t="s">
        <v>125</v>
      </c>
      <c r="H507" t="s">
        <v>40</v>
      </c>
      <c r="I507" t="s">
        <v>86</v>
      </c>
      <c r="J507" t="s">
        <v>94</v>
      </c>
      <c r="K507" t="s">
        <v>23</v>
      </c>
      <c r="L507" t="s">
        <v>50</v>
      </c>
      <c r="M507" t="s">
        <v>153</v>
      </c>
      <c r="N507" t="s">
        <v>297</v>
      </c>
    </row>
    <row r="508" spans="1:14" ht="12.75">
      <c r="A508" t="str">
        <f>HYPERLINK("http://www.onsemi.com/PowerSolutions/product.do?id=MJE15033","MJE15033")</f>
        <v>MJE15033</v>
      </c>
      <c r="B508" t="str">
        <f>HYPERLINK("http://www.onsemi.com/pub/Collateral/MJE15032-D.PDF","MJE15032/D (75.0kB)")</f>
        <v>MJE15032/D (75.0kB)</v>
      </c>
      <c r="C508" t="s">
        <v>69</v>
      </c>
      <c r="D508" t="s">
        <v>70</v>
      </c>
      <c r="E508" t="s">
        <v>380</v>
      </c>
      <c r="F508" t="s">
        <v>306</v>
      </c>
      <c r="G508" t="s">
        <v>58</v>
      </c>
      <c r="H508" t="s">
        <v>120</v>
      </c>
      <c r="J508" t="s">
        <v>86</v>
      </c>
      <c r="K508" t="s">
        <v>120</v>
      </c>
      <c r="L508" t="s">
        <v>59</v>
      </c>
      <c r="M508" t="s">
        <v>153</v>
      </c>
      <c r="N508" t="s">
        <v>100</v>
      </c>
    </row>
    <row r="509" spans="1:14" ht="12.75">
      <c r="A509" t="str">
        <f>HYPERLINK("http://www.onsemi.com/PowerSolutions/product.do?id=MJE15033G","MJE15033G")</f>
        <v>MJE15033G</v>
      </c>
      <c r="B509" t="str">
        <f>HYPERLINK("http://www.onsemi.com/pub/Collateral/MJE15032-D.PDF","MJE15032/D (75.0kB)")</f>
        <v>MJE15032/D (75.0kB)</v>
      </c>
      <c r="C509" t="s">
        <v>19</v>
      </c>
      <c r="D509" t="s">
        <v>70</v>
      </c>
      <c r="E509" t="s">
        <v>380</v>
      </c>
      <c r="F509" t="s">
        <v>306</v>
      </c>
      <c r="G509" t="s">
        <v>58</v>
      </c>
      <c r="H509" t="s">
        <v>120</v>
      </c>
      <c r="J509" t="s">
        <v>86</v>
      </c>
      <c r="K509" t="s">
        <v>120</v>
      </c>
      <c r="L509" t="s">
        <v>59</v>
      </c>
      <c r="M509" t="s">
        <v>153</v>
      </c>
      <c r="N509" t="s">
        <v>381</v>
      </c>
    </row>
    <row r="510" spans="1:14" ht="12.75">
      <c r="A510" t="str">
        <f>HYPERLINK("http://www.onsemi.com/PowerSolutions/product.do?id=MJE170G","MJE170G")</f>
        <v>MJE170G</v>
      </c>
      <c r="B510" t="str">
        <f>HYPERLINK("http://www.onsemi.com/pub/Collateral/MJE171-D.PDF","MJE171/D (82.0kB)")</f>
        <v>MJE171/D (82.0kB)</v>
      </c>
      <c r="C510" t="s">
        <v>19</v>
      </c>
      <c r="D510" t="s">
        <v>70</v>
      </c>
      <c r="E510" t="s">
        <v>105</v>
      </c>
      <c r="F510" t="s">
        <v>22</v>
      </c>
      <c r="G510" t="s">
        <v>41</v>
      </c>
      <c r="H510" t="s">
        <v>120</v>
      </c>
      <c r="I510" t="s">
        <v>58</v>
      </c>
      <c r="J510" t="s">
        <v>120</v>
      </c>
      <c r="K510" t="s">
        <v>263</v>
      </c>
      <c r="L510" t="s">
        <v>59</v>
      </c>
      <c r="M510" t="s">
        <v>106</v>
      </c>
      <c r="N510" t="s">
        <v>100</v>
      </c>
    </row>
    <row r="511" spans="1:14" ht="12.75">
      <c r="A511" t="str">
        <f>HYPERLINK("http://www.onsemi.com/PowerSolutions/product.do?id=MJE171G","MJE171G")</f>
        <v>MJE171G</v>
      </c>
      <c r="B511" t="str">
        <f>HYPERLINK("http://www.onsemi.com/pub/Collateral/MJE171-D.PDF","MJE171/D (82.0kB)")</f>
        <v>MJE171/D (82.0kB)</v>
      </c>
      <c r="C511" t="s">
        <v>19</v>
      </c>
      <c r="D511" t="s">
        <v>70</v>
      </c>
      <c r="E511" t="s">
        <v>108</v>
      </c>
      <c r="F511" t="s">
        <v>22</v>
      </c>
      <c r="G511" t="s">
        <v>73</v>
      </c>
      <c r="H511" t="s">
        <v>120</v>
      </c>
      <c r="I511" t="s">
        <v>58</v>
      </c>
      <c r="J511" t="s">
        <v>120</v>
      </c>
      <c r="K511" t="s">
        <v>263</v>
      </c>
      <c r="L511" t="s">
        <v>59</v>
      </c>
      <c r="M511" t="s">
        <v>106</v>
      </c>
      <c r="N511" t="s">
        <v>382</v>
      </c>
    </row>
    <row r="512" spans="1:14" ht="12.75">
      <c r="A512" t="str">
        <f>HYPERLINK("http://www.onsemi.com/PowerSolutions/product.do?id=MJE172G","MJE172G")</f>
        <v>MJE172G</v>
      </c>
      <c r="B512" t="str">
        <f>HYPERLINK("http://www.onsemi.com/pub/Collateral/MJE171-D.PDF","MJE171/D (82.0kB)")</f>
        <v>MJE171/D (82.0kB)</v>
      </c>
      <c r="C512" t="s">
        <v>19</v>
      </c>
      <c r="D512" t="s">
        <v>70</v>
      </c>
      <c r="E512" t="s">
        <v>110</v>
      </c>
      <c r="F512" t="s">
        <v>22</v>
      </c>
      <c r="G512" t="s">
        <v>111</v>
      </c>
      <c r="H512" t="s">
        <v>120</v>
      </c>
      <c r="I512" t="s">
        <v>58</v>
      </c>
      <c r="J512" t="s">
        <v>120</v>
      </c>
      <c r="K512" t="s">
        <v>263</v>
      </c>
      <c r="L512" t="s">
        <v>59</v>
      </c>
      <c r="M512" t="s">
        <v>106</v>
      </c>
      <c r="N512" t="s">
        <v>266</v>
      </c>
    </row>
    <row r="513" spans="1:14" ht="12.75">
      <c r="A513" t="str">
        <f>HYPERLINK("http://www.onsemi.com/PowerSolutions/product.do?id=MJE180","MJE180")</f>
        <v>MJE180</v>
      </c>
      <c r="B513" t="str">
        <f>HYPERLINK("http://www.onsemi.com/pub/Collateral/MJE171-D.PDF","MJE171/D (82.0kB)")</f>
        <v>MJE171/D (82.0kB)</v>
      </c>
      <c r="C513" t="s">
        <v>69</v>
      </c>
      <c r="D513" t="s">
        <v>70</v>
      </c>
      <c r="E513" t="s">
        <v>112</v>
      </c>
      <c r="F513" t="s">
        <v>22</v>
      </c>
      <c r="G513" t="s">
        <v>41</v>
      </c>
      <c r="H513" t="s">
        <v>120</v>
      </c>
      <c r="I513" t="s">
        <v>58</v>
      </c>
      <c r="J513" t="s">
        <v>120</v>
      </c>
      <c r="K513" t="s">
        <v>263</v>
      </c>
      <c r="L513" t="s">
        <v>50</v>
      </c>
      <c r="M513" t="s">
        <v>106</v>
      </c>
      <c r="N513" t="s">
        <v>264</v>
      </c>
    </row>
    <row r="514" spans="1:14" ht="12.75">
      <c r="A514" t="str">
        <f>HYPERLINK("http://www.onsemi.com/PowerSolutions/product.do?id=MJE18002","MJE18002")</f>
        <v>MJE18002</v>
      </c>
      <c r="B514" t="str">
        <f>HYPERLINK("http://www.onsemi.com/pub/Collateral/MJE18002-D.PDF","MJE18002/D (87.0kB)")</f>
        <v>MJE18002/D (87.0kB)</v>
      </c>
      <c r="C514" t="s">
        <v>69</v>
      </c>
      <c r="D514" t="s">
        <v>70</v>
      </c>
      <c r="E514" t="s">
        <v>326</v>
      </c>
      <c r="F514" t="s">
        <v>26</v>
      </c>
      <c r="G514" t="s">
        <v>65</v>
      </c>
      <c r="H514" t="s">
        <v>311</v>
      </c>
      <c r="I514" t="s">
        <v>312</v>
      </c>
      <c r="K514" t="s">
        <v>41</v>
      </c>
      <c r="L514" t="s">
        <v>50</v>
      </c>
      <c r="M514" t="s">
        <v>153</v>
      </c>
      <c r="N514" t="s">
        <v>100</v>
      </c>
    </row>
    <row r="515" spans="1:14" ht="12.75">
      <c r="A515" t="str">
        <f>HYPERLINK("http://www.onsemi.com/PowerSolutions/product.do?id=MJE18002G","MJE18002G")</f>
        <v>MJE18002G</v>
      </c>
      <c r="B515" t="str">
        <f>HYPERLINK("http://www.onsemi.com/pub/Collateral/MJE18002-D.PDF","MJE18002/D (87.0kB)")</f>
        <v>MJE18002/D (87.0kB)</v>
      </c>
      <c r="C515" t="s">
        <v>19</v>
      </c>
      <c r="D515" t="s">
        <v>70</v>
      </c>
      <c r="E515" t="s">
        <v>326</v>
      </c>
      <c r="F515" t="s">
        <v>26</v>
      </c>
      <c r="G515" t="s">
        <v>65</v>
      </c>
      <c r="H515" t="s">
        <v>311</v>
      </c>
      <c r="I515" t="s">
        <v>312</v>
      </c>
      <c r="K515" t="s">
        <v>41</v>
      </c>
      <c r="L515" t="s">
        <v>50</v>
      </c>
      <c r="M515" t="s">
        <v>153</v>
      </c>
      <c r="N515" t="s">
        <v>383</v>
      </c>
    </row>
    <row r="516" spans="1:14" ht="12.75">
      <c r="A516" t="str">
        <f>HYPERLINK("http://www.onsemi.com/PowerSolutions/product.do?id=MJE18004","MJE18004")</f>
        <v>MJE18004</v>
      </c>
      <c r="B516" t="str">
        <f>HYPERLINK("http://www.onsemi.com/pub/Collateral/MJE18004-D.PDF","MJE18004/D (207.0kB)")</f>
        <v>MJE18004/D (207.0kB)</v>
      </c>
      <c r="C516" t="s">
        <v>69</v>
      </c>
      <c r="D516" t="s">
        <v>70</v>
      </c>
      <c r="E516" t="s">
        <v>384</v>
      </c>
      <c r="F516" t="s">
        <v>163</v>
      </c>
      <c r="G516" t="s">
        <v>65</v>
      </c>
      <c r="H516" t="s">
        <v>311</v>
      </c>
      <c r="I516" t="s">
        <v>312</v>
      </c>
      <c r="K516" t="s">
        <v>164</v>
      </c>
      <c r="L516" t="s">
        <v>50</v>
      </c>
      <c r="M516" t="s">
        <v>153</v>
      </c>
      <c r="N516" t="s">
        <v>350</v>
      </c>
    </row>
    <row r="517" spans="1:14" ht="12.75">
      <c r="A517" t="str">
        <f>HYPERLINK("http://www.onsemi.com/PowerSolutions/product.do?id=MJE18004D2G","MJE18004D2G")</f>
        <v>MJE18004D2G</v>
      </c>
      <c r="B517" t="str">
        <f>HYPERLINK("http://www.onsemi.com/pub/Collateral/MJE18004D2-D.PDF","MJE18004D2/D (147.0kB)")</f>
        <v>MJE18004D2/D (147.0kB)</v>
      </c>
      <c r="C517" t="s">
        <v>19</v>
      </c>
      <c r="D517" t="s">
        <v>70</v>
      </c>
      <c r="E517" t="s">
        <v>384</v>
      </c>
      <c r="F517" t="s">
        <v>163</v>
      </c>
      <c r="G517" t="s">
        <v>65</v>
      </c>
      <c r="H517" t="s">
        <v>72</v>
      </c>
      <c r="K517" t="s">
        <v>164</v>
      </c>
      <c r="L517" t="s">
        <v>50</v>
      </c>
      <c r="M517" t="s">
        <v>153</v>
      </c>
      <c r="N517" t="s">
        <v>297</v>
      </c>
    </row>
    <row r="518" spans="1:14" ht="12.75">
      <c r="A518" t="str">
        <f>HYPERLINK("http://www.onsemi.com/PowerSolutions/product.do?id=MJE18004G","MJE18004G")</f>
        <v>MJE18004G</v>
      </c>
      <c r="B518" t="str">
        <f>HYPERLINK("http://www.onsemi.com/pub/Collateral/MJE18004-D.PDF","MJE18004/D (207.0kB)")</f>
        <v>MJE18004/D (207.0kB)</v>
      </c>
      <c r="C518" t="s">
        <v>19</v>
      </c>
      <c r="D518" t="s">
        <v>70</v>
      </c>
      <c r="E518" t="s">
        <v>384</v>
      </c>
      <c r="F518" t="s">
        <v>163</v>
      </c>
      <c r="G518" t="s">
        <v>65</v>
      </c>
      <c r="H518" t="s">
        <v>311</v>
      </c>
      <c r="I518" t="s">
        <v>312</v>
      </c>
      <c r="K518" t="s">
        <v>164</v>
      </c>
      <c r="L518" t="s">
        <v>50</v>
      </c>
      <c r="M518" t="s">
        <v>153</v>
      </c>
      <c r="N518" t="s">
        <v>350</v>
      </c>
    </row>
    <row r="519" spans="1:14" ht="12.75">
      <c r="A519" t="str">
        <f>HYPERLINK("http://www.onsemi.com/PowerSolutions/product.do?id=MJE18006G","MJE18006G")</f>
        <v>MJE18006G</v>
      </c>
      <c r="B519" t="str">
        <f>HYPERLINK("http://www.onsemi.com/pub/Collateral/MJE18006-D.PDF","MJE18006/D (120.0kB)")</f>
        <v>MJE18006/D (120.0kB)</v>
      </c>
      <c r="C519" t="s">
        <v>19</v>
      </c>
      <c r="D519" t="s">
        <v>70</v>
      </c>
      <c r="E519" t="s">
        <v>385</v>
      </c>
      <c r="F519" t="s">
        <v>40</v>
      </c>
      <c r="G519" t="s">
        <v>65</v>
      </c>
      <c r="H519" t="s">
        <v>311</v>
      </c>
      <c r="I519" t="s">
        <v>312</v>
      </c>
      <c r="J519" t="s">
        <v>311</v>
      </c>
      <c r="K519" t="s">
        <v>23</v>
      </c>
      <c r="L519" t="s">
        <v>50</v>
      </c>
      <c r="M519" t="s">
        <v>153</v>
      </c>
      <c r="N519" t="s">
        <v>386</v>
      </c>
    </row>
    <row r="520" spans="1:14" ht="12.75">
      <c r="A520" t="str">
        <f>HYPERLINK("http://www.onsemi.com/PowerSolutions/product.do?id=MJE18008","MJE18008")</f>
        <v>MJE18008</v>
      </c>
      <c r="B520" t="str">
        <f>HYPERLINK("http://www.onsemi.com/pub/Collateral/MJE18008-D.PDF","MJE18008/D (203.0kB)")</f>
        <v>MJE18008/D (203.0kB)</v>
      </c>
      <c r="C520" t="s">
        <v>69</v>
      </c>
      <c r="D520" t="s">
        <v>70</v>
      </c>
      <c r="E520" t="s">
        <v>387</v>
      </c>
      <c r="F520" t="s">
        <v>306</v>
      </c>
      <c r="G520" t="s">
        <v>65</v>
      </c>
      <c r="H520" t="s">
        <v>93</v>
      </c>
      <c r="I520" t="s">
        <v>312</v>
      </c>
      <c r="J520" t="s">
        <v>388</v>
      </c>
      <c r="K520" t="s">
        <v>239</v>
      </c>
      <c r="L520" t="s">
        <v>50</v>
      </c>
      <c r="M520" t="s">
        <v>153</v>
      </c>
      <c r="N520" t="s">
        <v>389</v>
      </c>
    </row>
    <row r="521" spans="1:14" ht="12.75">
      <c r="A521" t="str">
        <f>HYPERLINK("http://www.onsemi.com/PowerSolutions/product.do?id=MJE18008G","MJE18008G")</f>
        <v>MJE18008G</v>
      </c>
      <c r="B521" t="str">
        <f>HYPERLINK("http://www.onsemi.com/pub/Collateral/MJE18008-D.PDF","MJE18008/D (203.0kB)")</f>
        <v>MJE18008/D (203.0kB)</v>
      </c>
      <c r="C521" t="s">
        <v>19</v>
      </c>
      <c r="D521" t="s">
        <v>70</v>
      </c>
      <c r="E521" t="s">
        <v>387</v>
      </c>
      <c r="F521" t="s">
        <v>306</v>
      </c>
      <c r="G521" t="s">
        <v>65</v>
      </c>
      <c r="H521" t="s">
        <v>93</v>
      </c>
      <c r="I521" t="s">
        <v>312</v>
      </c>
      <c r="J521" t="s">
        <v>388</v>
      </c>
      <c r="K521" t="s">
        <v>239</v>
      </c>
      <c r="L521" t="s">
        <v>50</v>
      </c>
      <c r="M521" t="s">
        <v>153</v>
      </c>
      <c r="N521" t="s">
        <v>389</v>
      </c>
    </row>
    <row r="522" spans="1:14" ht="12.75">
      <c r="A522" t="str">
        <f>HYPERLINK("http://www.onsemi.com/PowerSolutions/product.do?id=MJE180G","MJE180G")</f>
        <v>MJE180G</v>
      </c>
      <c r="B522" t="str">
        <f>HYPERLINK("http://www.onsemi.com/pub/Collateral/MJE171-D.PDF","MJE171/D (82.0kB)")</f>
        <v>MJE171/D (82.0kB)</v>
      </c>
      <c r="C522" t="s">
        <v>19</v>
      </c>
      <c r="D522" t="s">
        <v>70</v>
      </c>
      <c r="E522" t="s">
        <v>112</v>
      </c>
      <c r="F522" t="s">
        <v>22</v>
      </c>
      <c r="G522" t="s">
        <v>41</v>
      </c>
      <c r="H522" t="s">
        <v>120</v>
      </c>
      <c r="I522" t="s">
        <v>58</v>
      </c>
      <c r="J522" t="s">
        <v>120</v>
      </c>
      <c r="K522" t="s">
        <v>263</v>
      </c>
      <c r="L522" t="s">
        <v>50</v>
      </c>
      <c r="M522" t="s">
        <v>106</v>
      </c>
      <c r="N522" t="s">
        <v>264</v>
      </c>
    </row>
    <row r="523" spans="1:14" ht="12.75">
      <c r="A523" t="str">
        <f>HYPERLINK("http://www.onsemi.com/PowerSolutions/product.do?id=MJE181G","MJE181G")</f>
        <v>MJE181G</v>
      </c>
      <c r="B523" t="str">
        <f>HYPERLINK("http://www.onsemi.com/pub/Collateral/MJE171-D.PDF","MJE171/D (82.0kB)")</f>
        <v>MJE171/D (82.0kB)</v>
      </c>
      <c r="C523" t="s">
        <v>19</v>
      </c>
      <c r="D523" t="s">
        <v>70</v>
      </c>
      <c r="E523" t="s">
        <v>114</v>
      </c>
      <c r="F523" t="s">
        <v>22</v>
      </c>
      <c r="G523" t="s">
        <v>73</v>
      </c>
      <c r="H523" t="s">
        <v>120</v>
      </c>
      <c r="I523" t="s">
        <v>58</v>
      </c>
      <c r="J523" t="s">
        <v>163</v>
      </c>
      <c r="K523" t="s">
        <v>263</v>
      </c>
      <c r="L523" t="s">
        <v>50</v>
      </c>
      <c r="M523" t="s">
        <v>106</v>
      </c>
      <c r="N523" t="s">
        <v>264</v>
      </c>
    </row>
    <row r="524" spans="1:14" ht="12.75">
      <c r="A524" t="str">
        <f>HYPERLINK("http://www.onsemi.com/PowerSolutions/product.do?id=MJE182","MJE182")</f>
        <v>MJE182</v>
      </c>
      <c r="B524" t="str">
        <f>HYPERLINK("http://www.onsemi.com/pub/Collateral/MJE171-D.PDF","MJE171/D (82.0kB)")</f>
        <v>MJE171/D (82.0kB)</v>
      </c>
      <c r="C524" t="s">
        <v>69</v>
      </c>
      <c r="D524" t="s">
        <v>70</v>
      </c>
      <c r="E524" t="s">
        <v>115</v>
      </c>
      <c r="F524" t="s">
        <v>22</v>
      </c>
      <c r="G524" t="s">
        <v>111</v>
      </c>
      <c r="H524" t="s">
        <v>120</v>
      </c>
      <c r="I524" t="s">
        <v>58</v>
      </c>
      <c r="J524" t="s">
        <v>120</v>
      </c>
      <c r="K524" t="s">
        <v>263</v>
      </c>
      <c r="L524" t="s">
        <v>50</v>
      </c>
      <c r="M524" t="s">
        <v>106</v>
      </c>
      <c r="N524" t="s">
        <v>264</v>
      </c>
    </row>
    <row r="525" spans="1:14" ht="12.75">
      <c r="A525" t="str">
        <f>HYPERLINK("http://www.onsemi.com/PowerSolutions/product.do?id=MJE182G","MJE182G")</f>
        <v>MJE182G</v>
      </c>
      <c r="B525" t="str">
        <f>HYPERLINK("http://www.onsemi.com/pub/Collateral/MJE171-D.PDF","MJE171/D (82.0kB)")</f>
        <v>MJE171/D (82.0kB)</v>
      </c>
      <c r="C525" t="s">
        <v>19</v>
      </c>
      <c r="D525" t="s">
        <v>70</v>
      </c>
      <c r="E525" t="s">
        <v>115</v>
      </c>
      <c r="F525" t="s">
        <v>22</v>
      </c>
      <c r="G525" t="s">
        <v>111</v>
      </c>
      <c r="H525" t="s">
        <v>120</v>
      </c>
      <c r="I525" t="s">
        <v>58</v>
      </c>
      <c r="J525" t="s">
        <v>120</v>
      </c>
      <c r="K525" t="s">
        <v>263</v>
      </c>
      <c r="L525" t="s">
        <v>50</v>
      </c>
      <c r="M525" t="s">
        <v>106</v>
      </c>
      <c r="N525" t="s">
        <v>264</v>
      </c>
    </row>
    <row r="526" spans="1:14" ht="12.75">
      <c r="A526" t="str">
        <f>HYPERLINK("http://www.onsemi.com/PowerSolutions/product.do?id=MJE200","MJE200")</f>
        <v>MJE200</v>
      </c>
      <c r="B526" t="str">
        <f>HYPERLINK("http://www.onsemi.com/pub/Collateral/MJE200-D.PDF","MJE200/D (115.0kB)")</f>
        <v>MJE200/D (115.0kB)</v>
      </c>
      <c r="C526" t="s">
        <v>69</v>
      </c>
      <c r="D526" t="s">
        <v>70</v>
      </c>
      <c r="E526" t="s">
        <v>354</v>
      </c>
      <c r="F526" t="s">
        <v>163</v>
      </c>
      <c r="G526" t="s">
        <v>102</v>
      </c>
      <c r="H526" t="s">
        <v>64</v>
      </c>
      <c r="I526" t="s">
        <v>187</v>
      </c>
      <c r="J526" t="s">
        <v>200</v>
      </c>
      <c r="K526" t="s">
        <v>72</v>
      </c>
      <c r="L526" t="s">
        <v>50</v>
      </c>
      <c r="M526" t="s">
        <v>106</v>
      </c>
      <c r="N526" t="s">
        <v>390</v>
      </c>
    </row>
    <row r="527" spans="1:14" ht="12.75">
      <c r="A527" t="str">
        <f>HYPERLINK("http://www.onsemi.com/PowerSolutions/product.do?id=MJE200G","MJE200G")</f>
        <v>MJE200G</v>
      </c>
      <c r="B527" t="str">
        <f>HYPERLINK("http://www.onsemi.com/pub/Collateral/MJE200-D.PDF","MJE200/D (115.0kB)")</f>
        <v>MJE200/D (115.0kB)</v>
      </c>
      <c r="C527" t="s">
        <v>19</v>
      </c>
      <c r="D527" t="s">
        <v>70</v>
      </c>
      <c r="E527" t="s">
        <v>354</v>
      </c>
      <c r="F527" t="s">
        <v>163</v>
      </c>
      <c r="G527" t="s">
        <v>102</v>
      </c>
      <c r="H527" t="s">
        <v>64</v>
      </c>
      <c r="I527" t="s">
        <v>187</v>
      </c>
      <c r="J527" t="s">
        <v>200</v>
      </c>
      <c r="K527" t="s">
        <v>72</v>
      </c>
      <c r="L527" t="s">
        <v>50</v>
      </c>
      <c r="M527" t="s">
        <v>106</v>
      </c>
      <c r="N527" t="s">
        <v>390</v>
      </c>
    </row>
    <row r="528" spans="1:14" ht="12.75">
      <c r="A528" t="str">
        <f>HYPERLINK("http://www.onsemi.com/PowerSolutions/product.do?id=MJE210G","MJE210G")</f>
        <v>MJE210G</v>
      </c>
      <c r="B528" t="str">
        <f>HYPERLINK("http://www.onsemi.com/pub/Collateral/MJE200-D.PDF","MJE200/D (115.0kB)")</f>
        <v>MJE200/D (115.0kB)</v>
      </c>
      <c r="C528" t="s">
        <v>19</v>
      </c>
      <c r="D528" t="s">
        <v>70</v>
      </c>
      <c r="E528" t="s">
        <v>356</v>
      </c>
      <c r="F528" t="s">
        <v>163</v>
      </c>
      <c r="G528" t="s">
        <v>102</v>
      </c>
      <c r="H528" t="s">
        <v>64</v>
      </c>
      <c r="I528" t="s">
        <v>187</v>
      </c>
      <c r="J528" t="s">
        <v>200</v>
      </c>
      <c r="K528" t="s">
        <v>72</v>
      </c>
      <c r="L528" t="s">
        <v>59</v>
      </c>
      <c r="M528" t="s">
        <v>106</v>
      </c>
      <c r="N528" t="s">
        <v>390</v>
      </c>
    </row>
    <row r="529" spans="1:14" ht="12.75">
      <c r="A529" t="str">
        <f>HYPERLINK("http://www.onsemi.com/PowerSolutions/product.do?id=MJE210TG","MJE210TG")</f>
        <v>MJE210TG</v>
      </c>
      <c r="B529" t="str">
        <f>HYPERLINK("http://www.onsemi.com/pub/Collateral/MJE200-D.PDF","MJE200/D (115.0kB)")</f>
        <v>MJE200/D (115.0kB)</v>
      </c>
      <c r="C529" t="s">
        <v>19</v>
      </c>
      <c r="D529" t="s">
        <v>70</v>
      </c>
      <c r="E529" t="s">
        <v>356</v>
      </c>
      <c r="F529" t="s">
        <v>163</v>
      </c>
      <c r="G529" t="s">
        <v>102</v>
      </c>
      <c r="H529" t="s">
        <v>64</v>
      </c>
      <c r="I529" t="s">
        <v>187</v>
      </c>
      <c r="J529" t="s">
        <v>200</v>
      </c>
      <c r="K529" t="s">
        <v>72</v>
      </c>
      <c r="L529" t="s">
        <v>59</v>
      </c>
      <c r="M529" t="s">
        <v>106</v>
      </c>
      <c r="N529" t="s">
        <v>390</v>
      </c>
    </row>
    <row r="530" spans="1:14" ht="12.75">
      <c r="A530" t="str">
        <f>HYPERLINK("http://www.onsemi.com/PowerSolutions/product.do?id=MJE243","MJE243")</f>
        <v>MJE243</v>
      </c>
      <c r="B530" t="str">
        <f>HYPERLINK("http://www.onsemi.com/pub/Collateral/MJE243-D.PDF","MJE243/D (110.0kB)")</f>
        <v>MJE243/D (110.0kB)</v>
      </c>
      <c r="C530" t="s">
        <v>69</v>
      </c>
      <c r="D530" t="s">
        <v>70</v>
      </c>
      <c r="E530" t="s">
        <v>358</v>
      </c>
      <c r="F530" t="s">
        <v>94</v>
      </c>
      <c r="G530" t="s">
        <v>23</v>
      </c>
      <c r="H530" t="s">
        <v>41</v>
      </c>
      <c r="I530" t="s">
        <v>187</v>
      </c>
      <c r="J530" t="s">
        <v>41</v>
      </c>
      <c r="K530" t="s">
        <v>72</v>
      </c>
      <c r="L530" t="s">
        <v>50</v>
      </c>
      <c r="M530" t="s">
        <v>106</v>
      </c>
      <c r="N530" t="s">
        <v>109</v>
      </c>
    </row>
    <row r="531" spans="1:14" ht="12.75">
      <c r="A531" t="str">
        <f>HYPERLINK("http://www.onsemi.com/PowerSolutions/product.do?id=MJE243G","MJE243G")</f>
        <v>MJE243G</v>
      </c>
      <c r="B531" t="str">
        <f>HYPERLINK("http://www.onsemi.com/pub/Collateral/MJE243-D.PDF","MJE243/D (110.0kB)")</f>
        <v>MJE243/D (110.0kB)</v>
      </c>
      <c r="C531" t="s">
        <v>19</v>
      </c>
      <c r="D531" t="s">
        <v>70</v>
      </c>
      <c r="E531" t="s">
        <v>358</v>
      </c>
      <c r="F531" t="s">
        <v>94</v>
      </c>
      <c r="G531" t="s">
        <v>23</v>
      </c>
      <c r="H531" t="s">
        <v>41</v>
      </c>
      <c r="I531" t="s">
        <v>187</v>
      </c>
      <c r="J531" t="s">
        <v>41</v>
      </c>
      <c r="K531" t="s">
        <v>72</v>
      </c>
      <c r="L531" t="s">
        <v>50</v>
      </c>
      <c r="M531" t="s">
        <v>106</v>
      </c>
      <c r="N531" t="s">
        <v>109</v>
      </c>
    </row>
    <row r="532" spans="1:14" ht="12.75">
      <c r="A532" t="str">
        <f>HYPERLINK("http://www.onsemi.com/PowerSolutions/product.do?id=MJE253","MJE253")</f>
        <v>MJE253</v>
      </c>
      <c r="B532" t="str">
        <f>HYPERLINK("http://www.onsemi.com/pub/Collateral/MJE243-D.PDF","MJE243/D (110.0kB)")</f>
        <v>MJE243/D (110.0kB)</v>
      </c>
      <c r="C532" t="s">
        <v>69</v>
      </c>
      <c r="D532" t="s">
        <v>70</v>
      </c>
      <c r="E532" t="s">
        <v>359</v>
      </c>
      <c r="F532" t="s">
        <v>94</v>
      </c>
      <c r="G532" t="s">
        <v>23</v>
      </c>
      <c r="H532" t="s">
        <v>41</v>
      </c>
      <c r="I532" t="s">
        <v>187</v>
      </c>
      <c r="J532" t="s">
        <v>41</v>
      </c>
      <c r="K532" t="s">
        <v>72</v>
      </c>
      <c r="L532" t="s">
        <v>59</v>
      </c>
      <c r="M532" t="s">
        <v>106</v>
      </c>
      <c r="N532" t="s">
        <v>266</v>
      </c>
    </row>
    <row r="533" spans="1:14" ht="12.75">
      <c r="A533" t="str">
        <f>HYPERLINK("http://www.onsemi.com/PowerSolutions/product.do?id=MJE253G","MJE253G")</f>
        <v>MJE253G</v>
      </c>
      <c r="B533" t="str">
        <f>HYPERLINK("http://www.onsemi.com/pub/Collateral/MJE243-D.PDF","MJE243/D (110.0kB)")</f>
        <v>MJE243/D (110.0kB)</v>
      </c>
      <c r="C533" t="s">
        <v>19</v>
      </c>
      <c r="D533" t="s">
        <v>70</v>
      </c>
      <c r="E533" t="s">
        <v>359</v>
      </c>
      <c r="F533" t="s">
        <v>94</v>
      </c>
      <c r="G533" t="s">
        <v>23</v>
      </c>
      <c r="H533" t="s">
        <v>41</v>
      </c>
      <c r="I533" t="s">
        <v>187</v>
      </c>
      <c r="J533" t="s">
        <v>41</v>
      </c>
      <c r="K533" t="s">
        <v>72</v>
      </c>
      <c r="L533" t="s">
        <v>59</v>
      </c>
      <c r="M533" t="s">
        <v>106</v>
      </c>
      <c r="N533" t="s">
        <v>266</v>
      </c>
    </row>
    <row r="534" spans="1:14" ht="12.75">
      <c r="A534" t="str">
        <f>HYPERLINK("http://www.onsemi.com/PowerSolutions/product.do?id=MJE2955T","MJE2955T")</f>
        <v>MJE2955T</v>
      </c>
      <c r="B534" t="str">
        <f>HYPERLINK("http://www.onsemi.com/pub/Collateral/MJE2955T-D.PDF","MJE2955T/D (79.0kB)")</f>
        <v>MJE2955T/D (79.0kB)</v>
      </c>
      <c r="C534" t="s">
        <v>69</v>
      </c>
      <c r="D534" t="s">
        <v>70</v>
      </c>
      <c r="E534" t="s">
        <v>331</v>
      </c>
      <c r="F534" t="s">
        <v>79</v>
      </c>
      <c r="G534" t="s">
        <v>73</v>
      </c>
      <c r="H534" t="s">
        <v>32</v>
      </c>
      <c r="I534" t="s">
        <v>23</v>
      </c>
      <c r="J534" t="s">
        <v>26</v>
      </c>
      <c r="K534" t="s">
        <v>239</v>
      </c>
      <c r="L534" t="s">
        <v>59</v>
      </c>
      <c r="M534" t="s">
        <v>153</v>
      </c>
      <c r="N534" t="s">
        <v>328</v>
      </c>
    </row>
    <row r="535" spans="1:14" ht="12.75">
      <c r="A535" t="str">
        <f>HYPERLINK("http://www.onsemi.com/PowerSolutions/product.do?id=MJE2955TG","MJE2955TG")</f>
        <v>MJE2955TG</v>
      </c>
      <c r="B535" t="str">
        <f>HYPERLINK("http://www.onsemi.com/pub/Collateral/MJE2955T-D.PDF","MJE2955T/D (79.0kB)")</f>
        <v>MJE2955T/D (79.0kB)</v>
      </c>
      <c r="C535" t="s">
        <v>19</v>
      </c>
      <c r="D535" t="s">
        <v>70</v>
      </c>
      <c r="E535" t="s">
        <v>331</v>
      </c>
      <c r="F535" t="s">
        <v>79</v>
      </c>
      <c r="G535" t="s">
        <v>73</v>
      </c>
      <c r="H535" t="s">
        <v>32</v>
      </c>
      <c r="I535" t="s">
        <v>23</v>
      </c>
      <c r="J535" t="s">
        <v>26</v>
      </c>
      <c r="K535" t="s">
        <v>239</v>
      </c>
      <c r="L535" t="s">
        <v>59</v>
      </c>
      <c r="M535" t="s">
        <v>153</v>
      </c>
      <c r="N535" t="s">
        <v>328</v>
      </c>
    </row>
    <row r="536" spans="1:14" ht="12.75">
      <c r="A536" t="str">
        <f>HYPERLINK("http://www.onsemi.com/PowerSolutions/product.do?id=MJE3055T","MJE3055T")</f>
        <v>MJE3055T</v>
      </c>
      <c r="B536" t="str">
        <f>HYPERLINK("http://www.onsemi.com/pub/Collateral/MJE2955T-D.PDF","MJE2955T/D (79.0kB)")</f>
        <v>MJE2955T/D (79.0kB)</v>
      </c>
      <c r="C536" t="s">
        <v>69</v>
      </c>
      <c r="D536" t="s">
        <v>70</v>
      </c>
      <c r="E536" t="s">
        <v>329</v>
      </c>
      <c r="F536" t="s">
        <v>79</v>
      </c>
      <c r="G536" t="s">
        <v>73</v>
      </c>
      <c r="H536" t="s">
        <v>32</v>
      </c>
      <c r="I536" t="s">
        <v>23</v>
      </c>
      <c r="J536" t="s">
        <v>26</v>
      </c>
      <c r="K536" t="s">
        <v>239</v>
      </c>
      <c r="L536" t="s">
        <v>50</v>
      </c>
      <c r="M536" t="s">
        <v>153</v>
      </c>
      <c r="N536" t="s">
        <v>158</v>
      </c>
    </row>
    <row r="537" spans="1:14" ht="12.75">
      <c r="A537" t="str">
        <f>HYPERLINK("http://www.onsemi.com/PowerSolutions/product.do?id=MJE3055TG","MJE3055TG")</f>
        <v>MJE3055TG</v>
      </c>
      <c r="B537" t="str">
        <f>HYPERLINK("http://www.onsemi.com/pub/Collateral/MJE2955T-D.PDF","MJE2955T/D (79.0kB)")</f>
        <v>MJE2955T/D (79.0kB)</v>
      </c>
      <c r="C537" t="s">
        <v>19</v>
      </c>
      <c r="D537" t="s">
        <v>70</v>
      </c>
      <c r="E537" t="s">
        <v>329</v>
      </c>
      <c r="F537" t="s">
        <v>79</v>
      </c>
      <c r="G537" t="s">
        <v>73</v>
      </c>
      <c r="H537" t="s">
        <v>32</v>
      </c>
      <c r="I537" t="s">
        <v>23</v>
      </c>
      <c r="J537" t="s">
        <v>26</v>
      </c>
      <c r="K537" t="s">
        <v>239</v>
      </c>
      <c r="L537" t="s">
        <v>50</v>
      </c>
      <c r="M537" t="s">
        <v>153</v>
      </c>
      <c r="N537" t="s">
        <v>158</v>
      </c>
    </row>
    <row r="538" spans="1:14" ht="12.75">
      <c r="A538" t="str">
        <f>HYPERLINK("http://www.onsemi.com/PowerSolutions/product.do?id=MJE340","MJE340")</f>
        <v>MJE340</v>
      </c>
      <c r="B538" t="str">
        <f>HYPERLINK("http://www.onsemi.com/pub/Collateral/MJE340-D.PDF","MJE340/D (67.0kB)")</f>
        <v>MJE340/D (67.0kB)</v>
      </c>
      <c r="C538" t="s">
        <v>69</v>
      </c>
      <c r="D538" t="s">
        <v>70</v>
      </c>
      <c r="E538" t="s">
        <v>363</v>
      </c>
      <c r="F538" t="s">
        <v>135</v>
      </c>
      <c r="G538" t="s">
        <v>48</v>
      </c>
      <c r="H538" t="s">
        <v>86</v>
      </c>
      <c r="I538" t="s">
        <v>136</v>
      </c>
      <c r="K538" t="s">
        <v>32</v>
      </c>
      <c r="L538" t="s">
        <v>50</v>
      </c>
      <c r="M538" t="s">
        <v>106</v>
      </c>
      <c r="N538" t="s">
        <v>370</v>
      </c>
    </row>
    <row r="539" spans="1:14" ht="12.75">
      <c r="A539" t="str">
        <f>HYPERLINK("http://www.onsemi.com/PowerSolutions/product.do?id=MJE340G","MJE340G")</f>
        <v>MJE340G</v>
      </c>
      <c r="B539" t="str">
        <f>HYPERLINK("http://www.onsemi.com/pub/Collateral/MJE340-D.PDF","MJE340/D (67.0kB)")</f>
        <v>MJE340/D (67.0kB)</v>
      </c>
      <c r="C539" t="s">
        <v>19</v>
      </c>
      <c r="D539" t="s">
        <v>70</v>
      </c>
      <c r="E539" t="s">
        <v>363</v>
      </c>
      <c r="F539" t="s">
        <v>135</v>
      </c>
      <c r="G539" t="s">
        <v>48</v>
      </c>
      <c r="H539" t="s">
        <v>86</v>
      </c>
      <c r="I539" t="s">
        <v>136</v>
      </c>
      <c r="K539" t="s">
        <v>32</v>
      </c>
      <c r="L539" t="s">
        <v>50</v>
      </c>
      <c r="M539" t="s">
        <v>106</v>
      </c>
      <c r="N539" t="s">
        <v>370</v>
      </c>
    </row>
    <row r="540" spans="1:14" ht="12.75">
      <c r="A540" t="str">
        <f>HYPERLINK("http://www.onsemi.com/PowerSolutions/product.do?id=MJE3439","MJE3439")</f>
        <v>MJE3439</v>
      </c>
      <c r="B540" t="str">
        <f>HYPERLINK("http://www.onsemi.com/pub/Collateral/MJE3439-D.PDF","MJE3439/D (54.0kB)")</f>
        <v>MJE3439/D (54.0kB)</v>
      </c>
      <c r="C540" t="s">
        <v>69</v>
      </c>
      <c r="D540" t="s">
        <v>70</v>
      </c>
      <c r="E540" t="s">
        <v>391</v>
      </c>
      <c r="F540" t="s">
        <v>392</v>
      </c>
      <c r="G540" t="s">
        <v>35</v>
      </c>
      <c r="H540" t="s">
        <v>72</v>
      </c>
      <c r="I540" t="s">
        <v>33</v>
      </c>
      <c r="J540" t="s">
        <v>72</v>
      </c>
      <c r="K540" t="s">
        <v>72</v>
      </c>
      <c r="L540" t="s">
        <v>50</v>
      </c>
      <c r="M540" t="s">
        <v>106</v>
      </c>
      <c r="N540" t="s">
        <v>140</v>
      </c>
    </row>
    <row r="541" spans="1:14" ht="12.75">
      <c r="A541" t="str">
        <f>HYPERLINK("http://www.onsemi.com/PowerSolutions/product.do?id=MJE3439G","MJE3439G")</f>
        <v>MJE3439G</v>
      </c>
      <c r="B541" t="str">
        <f>HYPERLINK("http://www.onsemi.com/pub/Collateral/MJE3439-D.PDF","MJE3439/D (54.0kB)")</f>
        <v>MJE3439/D (54.0kB)</v>
      </c>
      <c r="C541" t="s">
        <v>19</v>
      </c>
      <c r="D541" t="s">
        <v>70</v>
      </c>
      <c r="E541" t="s">
        <v>391</v>
      </c>
      <c r="F541" t="s">
        <v>392</v>
      </c>
      <c r="G541" t="s">
        <v>35</v>
      </c>
      <c r="H541" t="s">
        <v>72</v>
      </c>
      <c r="I541" t="s">
        <v>33</v>
      </c>
      <c r="J541" t="s">
        <v>72</v>
      </c>
      <c r="K541" t="s">
        <v>72</v>
      </c>
      <c r="L541" t="s">
        <v>50</v>
      </c>
      <c r="M541" t="s">
        <v>106</v>
      </c>
      <c r="N541" t="s">
        <v>140</v>
      </c>
    </row>
    <row r="542" spans="1:14" ht="12.75">
      <c r="A542" t="str">
        <f>HYPERLINK("http://www.onsemi.com/PowerSolutions/product.do?id=MJE344","MJE344")</f>
        <v>MJE344</v>
      </c>
      <c r="B542" t="str">
        <f>HYPERLINK("http://www.onsemi.com/pub/Collateral/MJE344-D.PDF","MJE344/D (62.0kB)")</f>
        <v>MJE344/D (62.0kB)</v>
      </c>
      <c r="C542" t="s">
        <v>69</v>
      </c>
      <c r="D542" t="s">
        <v>70</v>
      </c>
      <c r="E542" t="s">
        <v>393</v>
      </c>
      <c r="F542" t="s">
        <v>135</v>
      </c>
      <c r="G542" t="s">
        <v>33</v>
      </c>
      <c r="H542" t="s">
        <v>86</v>
      </c>
      <c r="I542" t="s">
        <v>48</v>
      </c>
      <c r="J542" t="s">
        <v>72</v>
      </c>
      <c r="K542" t="s">
        <v>32</v>
      </c>
      <c r="L542" t="s">
        <v>50</v>
      </c>
      <c r="M542" t="s">
        <v>106</v>
      </c>
      <c r="N542" t="s">
        <v>140</v>
      </c>
    </row>
    <row r="543" spans="1:14" ht="12.75">
      <c r="A543" t="str">
        <f>HYPERLINK("http://www.onsemi.com/PowerSolutions/product.do?id=MJE344G","MJE344G")</f>
        <v>MJE344G</v>
      </c>
      <c r="B543" t="str">
        <f>HYPERLINK("http://www.onsemi.com/pub/Collateral/MJE344-D.PDF","MJE344/D (62.0kB)")</f>
        <v>MJE344/D (62.0kB)</v>
      </c>
      <c r="C543" t="s">
        <v>19</v>
      </c>
      <c r="D543" t="s">
        <v>70</v>
      </c>
      <c r="E543" t="s">
        <v>393</v>
      </c>
      <c r="F543" t="s">
        <v>135</v>
      </c>
      <c r="G543" t="s">
        <v>33</v>
      </c>
      <c r="H543" t="s">
        <v>86</v>
      </c>
      <c r="I543" t="s">
        <v>48</v>
      </c>
      <c r="J543" t="s">
        <v>72</v>
      </c>
      <c r="K543" t="s">
        <v>32</v>
      </c>
      <c r="L543" t="s">
        <v>50</v>
      </c>
      <c r="M543" t="s">
        <v>106</v>
      </c>
      <c r="N543" t="s">
        <v>140</v>
      </c>
    </row>
    <row r="544" spans="1:14" ht="12.75">
      <c r="A544" t="str">
        <f>HYPERLINK("http://www.onsemi.com/PowerSolutions/product.do?id=MJE350","MJE350")</f>
        <v>MJE350</v>
      </c>
      <c r="B544" t="str">
        <f>HYPERLINK("http://www.onsemi.com/pub/Collateral/MJE350-D.PDF","MJE350/D (133.0kB)")</f>
        <v>MJE350/D (133.0kB)</v>
      </c>
      <c r="C544" t="s">
        <v>69</v>
      </c>
      <c r="D544" t="s">
        <v>70</v>
      </c>
      <c r="E544" t="s">
        <v>365</v>
      </c>
      <c r="F544" t="s">
        <v>135</v>
      </c>
      <c r="G544" t="s">
        <v>48</v>
      </c>
      <c r="H544" t="s">
        <v>86</v>
      </c>
      <c r="I544" t="s">
        <v>136</v>
      </c>
      <c r="K544" t="s">
        <v>32</v>
      </c>
      <c r="L544" t="s">
        <v>59</v>
      </c>
      <c r="M544" t="s">
        <v>106</v>
      </c>
      <c r="N544" t="s">
        <v>264</v>
      </c>
    </row>
    <row r="545" spans="1:14" ht="12.75">
      <c r="A545" t="str">
        <f>HYPERLINK("http://www.onsemi.com/PowerSolutions/product.do?id=MJE350G","MJE350G")</f>
        <v>MJE350G</v>
      </c>
      <c r="B545" t="str">
        <f>HYPERLINK("http://www.onsemi.com/pub/Collateral/MJE350-D.PDF","MJE350/D (133.0kB)")</f>
        <v>MJE350/D (133.0kB)</v>
      </c>
      <c r="C545" t="s">
        <v>19</v>
      </c>
      <c r="D545" t="s">
        <v>70</v>
      </c>
      <c r="E545" t="s">
        <v>365</v>
      </c>
      <c r="F545" t="s">
        <v>135</v>
      </c>
      <c r="G545" t="s">
        <v>48</v>
      </c>
      <c r="H545" t="s">
        <v>86</v>
      </c>
      <c r="I545" t="s">
        <v>136</v>
      </c>
      <c r="K545" t="s">
        <v>32</v>
      </c>
      <c r="L545" t="s">
        <v>59</v>
      </c>
      <c r="M545" t="s">
        <v>106</v>
      </c>
      <c r="N545" t="s">
        <v>264</v>
      </c>
    </row>
    <row r="546" spans="1:14" ht="12.75">
      <c r="A546" t="str">
        <f>HYPERLINK("http://www.onsemi.com/PowerSolutions/product.do?id=MJE371G","MJE371G")</f>
        <v>MJE371G</v>
      </c>
      <c r="B546" t="str">
        <f>HYPERLINK("http://www.onsemi.com/pub/Collateral/MJE371-D.PDF","MJE371/D (61.0kB)")</f>
        <v>MJE371/D (61.0kB)</v>
      </c>
      <c r="C546" t="s">
        <v>19</v>
      </c>
      <c r="D546" t="s">
        <v>70</v>
      </c>
      <c r="E546" t="s">
        <v>394</v>
      </c>
      <c r="F546" t="s">
        <v>94</v>
      </c>
      <c r="G546" t="s">
        <v>41</v>
      </c>
      <c r="H546" t="s">
        <v>41</v>
      </c>
      <c r="K546" t="s">
        <v>41</v>
      </c>
      <c r="L546" t="s">
        <v>59</v>
      </c>
      <c r="M546" t="s">
        <v>106</v>
      </c>
      <c r="N546" t="s">
        <v>109</v>
      </c>
    </row>
    <row r="547" spans="1:14" ht="12.75">
      <c r="A547" t="str">
        <f>HYPERLINK("http://www.onsemi.com/PowerSolutions/product.do?id=MJE4343G","MJE4343G")</f>
        <v>MJE4343G</v>
      </c>
      <c r="B547" t="str">
        <f>HYPERLINK("http://www.onsemi.com/pub/Collateral/MJE4343-D.PDF","MJE4343/D (142.0kB)")</f>
        <v>MJE4343/D (142.0kB)</v>
      </c>
      <c r="C547" t="s">
        <v>19</v>
      </c>
      <c r="D547" t="s">
        <v>70</v>
      </c>
      <c r="E547" t="s">
        <v>395</v>
      </c>
      <c r="F547" t="s">
        <v>93</v>
      </c>
      <c r="G547" t="s">
        <v>138</v>
      </c>
      <c r="H547" t="s">
        <v>72</v>
      </c>
      <c r="J547" t="s">
        <v>31</v>
      </c>
      <c r="K547" t="s">
        <v>239</v>
      </c>
      <c r="L547" t="s">
        <v>50</v>
      </c>
      <c r="M547" t="s">
        <v>396</v>
      </c>
      <c r="N547" t="s">
        <v>397</v>
      </c>
    </row>
    <row r="548" spans="1:14" ht="12.75">
      <c r="A548" t="str">
        <f>HYPERLINK("http://www.onsemi.com/PowerSolutions/product.do?id=MJE4353","MJE4353")</f>
        <v>MJE4353</v>
      </c>
      <c r="B548" t="str">
        <f>HYPERLINK("http://www.onsemi.com/pub/Collateral/MJE4343-D.PDF","MJE4343/D (142.0kB)")</f>
        <v>MJE4343/D (142.0kB)</v>
      </c>
      <c r="C548" t="s">
        <v>69</v>
      </c>
      <c r="D548" t="s">
        <v>70</v>
      </c>
      <c r="E548" t="s">
        <v>398</v>
      </c>
      <c r="F548" t="s">
        <v>93</v>
      </c>
      <c r="G548" t="s">
        <v>138</v>
      </c>
      <c r="H548" t="s">
        <v>72</v>
      </c>
      <c r="J548" t="s">
        <v>31</v>
      </c>
      <c r="K548" t="s">
        <v>239</v>
      </c>
      <c r="L548" t="s">
        <v>59</v>
      </c>
      <c r="M548" t="s">
        <v>396</v>
      </c>
      <c r="N548" t="s">
        <v>399</v>
      </c>
    </row>
    <row r="549" spans="1:14" ht="12.75">
      <c r="A549" t="str">
        <f>HYPERLINK("http://www.onsemi.com/PowerSolutions/product.do?id=MJE4353G","MJE4353G")</f>
        <v>MJE4353G</v>
      </c>
      <c r="B549" t="str">
        <f>HYPERLINK("http://www.onsemi.com/pub/Collateral/MJE4343-D.PDF","MJE4343/D (142.0kB)")</f>
        <v>MJE4343/D (142.0kB)</v>
      </c>
      <c r="C549" t="s">
        <v>19</v>
      </c>
      <c r="D549" t="s">
        <v>70</v>
      </c>
      <c r="E549" t="s">
        <v>398</v>
      </c>
      <c r="F549" t="s">
        <v>93</v>
      </c>
      <c r="G549" t="s">
        <v>138</v>
      </c>
      <c r="H549" t="s">
        <v>72</v>
      </c>
      <c r="J549" t="s">
        <v>31</v>
      </c>
      <c r="K549" t="s">
        <v>239</v>
      </c>
      <c r="L549" t="s">
        <v>59</v>
      </c>
      <c r="M549" t="s">
        <v>396</v>
      </c>
      <c r="N549" t="s">
        <v>399</v>
      </c>
    </row>
    <row r="550" spans="1:14" ht="12.75">
      <c r="A550" t="str">
        <f>HYPERLINK("http://www.onsemi.com/PowerSolutions/product.do?id=MJE521G","MJE521G")</f>
        <v>MJE521G</v>
      </c>
      <c r="B550" t="str">
        <f>HYPERLINK("http://www.onsemi.com/pub/Collateral/MJE521-D.PDF","MJE521/D (62.0kB)")</f>
        <v>MJE521/D (62.0kB)</v>
      </c>
      <c r="C550" t="s">
        <v>19</v>
      </c>
      <c r="D550" t="s">
        <v>70</v>
      </c>
      <c r="E550" t="s">
        <v>127</v>
      </c>
      <c r="F550" t="s">
        <v>94</v>
      </c>
      <c r="G550" t="s">
        <v>41</v>
      </c>
      <c r="H550" t="s">
        <v>41</v>
      </c>
      <c r="K550" t="s">
        <v>41</v>
      </c>
      <c r="L550" t="s">
        <v>50</v>
      </c>
      <c r="M550" t="s">
        <v>106</v>
      </c>
      <c r="N550" t="s">
        <v>109</v>
      </c>
    </row>
    <row r="551" spans="1:14" ht="12.75">
      <c r="A551" t="str">
        <f>HYPERLINK("http://www.onsemi.com/PowerSolutions/product.do?id=MJE5730G","MJE5730G")</f>
        <v>MJE5730G</v>
      </c>
      <c r="B551" t="str">
        <f>HYPERLINK("http://www.onsemi.com/pub/Collateral/MJE5730-D.PDF","MJE5730/D (76.0kB)")</f>
        <v>MJE5730/D (76.0kB)</v>
      </c>
      <c r="C551" t="s">
        <v>19</v>
      </c>
      <c r="D551" t="s">
        <v>70</v>
      </c>
      <c r="E551" t="s">
        <v>400</v>
      </c>
      <c r="F551" t="s">
        <v>31</v>
      </c>
      <c r="G551" t="s">
        <v>48</v>
      </c>
      <c r="I551" t="s">
        <v>88</v>
      </c>
      <c r="J551" t="s">
        <v>79</v>
      </c>
      <c r="K551" t="s">
        <v>41</v>
      </c>
      <c r="L551" t="s">
        <v>59</v>
      </c>
      <c r="M551" t="s">
        <v>153</v>
      </c>
      <c r="N551" t="s">
        <v>316</v>
      </c>
    </row>
    <row r="552" spans="1:14" ht="12.75">
      <c r="A552" t="str">
        <f>HYPERLINK("http://www.onsemi.com/PowerSolutions/product.do?id=MJE5731A","MJE5731A")</f>
        <v>MJE5731A</v>
      </c>
      <c r="B552" t="str">
        <f>HYPERLINK("http://www.onsemi.com/pub/Collateral/MJE5730-D.PDF","MJE5730/D (76.0kB)")</f>
        <v>MJE5730/D (76.0kB)</v>
      </c>
      <c r="C552" t="s">
        <v>69</v>
      </c>
      <c r="D552" t="s">
        <v>70</v>
      </c>
      <c r="E552" t="s">
        <v>401</v>
      </c>
      <c r="F552" t="s">
        <v>31</v>
      </c>
      <c r="G552" t="s">
        <v>199</v>
      </c>
      <c r="H552" t="s">
        <v>86</v>
      </c>
      <c r="I552" t="s">
        <v>88</v>
      </c>
      <c r="J552" t="s">
        <v>79</v>
      </c>
      <c r="K552" t="s">
        <v>41</v>
      </c>
      <c r="L552" t="s">
        <v>59</v>
      </c>
      <c r="M552" t="s">
        <v>153</v>
      </c>
      <c r="N552" t="s">
        <v>316</v>
      </c>
    </row>
    <row r="553" spans="1:14" ht="12.75">
      <c r="A553" t="str">
        <f>HYPERLINK("http://www.onsemi.com/PowerSolutions/product.do?id=MJE5731AG","MJE5731AG")</f>
        <v>MJE5731AG</v>
      </c>
      <c r="B553" t="str">
        <f>HYPERLINK("http://www.onsemi.com/pub/Collateral/MJE5730-D.PDF","MJE5730/D (76.0kB)")</f>
        <v>MJE5730/D (76.0kB)</v>
      </c>
      <c r="C553" t="s">
        <v>19</v>
      </c>
      <c r="D553" t="s">
        <v>70</v>
      </c>
      <c r="E553" t="s">
        <v>401</v>
      </c>
      <c r="F553" t="s">
        <v>31</v>
      </c>
      <c r="G553" t="s">
        <v>199</v>
      </c>
      <c r="H553" t="s">
        <v>86</v>
      </c>
      <c r="I553" t="s">
        <v>88</v>
      </c>
      <c r="J553" t="s">
        <v>79</v>
      </c>
      <c r="K553" t="s">
        <v>41</v>
      </c>
      <c r="L553" t="s">
        <v>59</v>
      </c>
      <c r="M553" t="s">
        <v>153</v>
      </c>
      <c r="N553" t="s">
        <v>316</v>
      </c>
    </row>
    <row r="554" spans="1:14" ht="12.75">
      <c r="A554" t="str">
        <f>HYPERLINK("http://www.onsemi.com/PowerSolutions/product.do?id=MJE5731G","MJE5731G")</f>
        <v>MJE5731G</v>
      </c>
      <c r="B554" t="str">
        <f>HYPERLINK("http://www.onsemi.com/pub/Collateral/MJE5730-D.PDF","MJE5730/D (76.0kB)")</f>
        <v>MJE5730/D (76.0kB)</v>
      </c>
      <c r="C554" t="s">
        <v>19</v>
      </c>
      <c r="D554" t="s">
        <v>70</v>
      </c>
      <c r="E554" t="s">
        <v>374</v>
      </c>
      <c r="F554" t="s">
        <v>31</v>
      </c>
      <c r="G554" t="s">
        <v>35</v>
      </c>
      <c r="H554" t="s">
        <v>86</v>
      </c>
      <c r="I554" t="s">
        <v>88</v>
      </c>
      <c r="J554" t="s">
        <v>79</v>
      </c>
      <c r="K554" t="s">
        <v>41</v>
      </c>
      <c r="L554" t="s">
        <v>59</v>
      </c>
      <c r="M554" t="s">
        <v>153</v>
      </c>
      <c r="N554" t="s">
        <v>316</v>
      </c>
    </row>
    <row r="555" spans="1:14" ht="12.75">
      <c r="A555" t="str">
        <f>HYPERLINK("http://www.onsemi.com/PowerSolutions/product.do?id=MJE5850","MJE5850")</f>
        <v>MJE5850</v>
      </c>
      <c r="B555" t="str">
        <f aca="true" t="shared" si="22" ref="B555:B560">HYPERLINK("http://www.onsemi.com/pub/Collateral/MJE5850-D.PDF","MJE5850/D (104.0kB)")</f>
        <v>MJE5850/D (104.0kB)</v>
      </c>
      <c r="C555" t="s">
        <v>69</v>
      </c>
      <c r="D555" t="s">
        <v>70</v>
      </c>
      <c r="E555" t="s">
        <v>402</v>
      </c>
      <c r="F555" t="s">
        <v>306</v>
      </c>
      <c r="G555" t="s">
        <v>48</v>
      </c>
      <c r="H555" t="s">
        <v>72</v>
      </c>
      <c r="K555" t="s">
        <v>111</v>
      </c>
      <c r="L555" t="s">
        <v>59</v>
      </c>
      <c r="M555" t="s">
        <v>153</v>
      </c>
      <c r="N555" t="s">
        <v>403</v>
      </c>
    </row>
    <row r="556" spans="1:14" ht="12.75">
      <c r="A556" t="str">
        <f>HYPERLINK("http://www.onsemi.com/PowerSolutions/product.do?id=MJE5850G","MJE5850G")</f>
        <v>MJE5850G</v>
      </c>
      <c r="B556" t="str">
        <f t="shared" si="22"/>
        <v>MJE5850/D (104.0kB)</v>
      </c>
      <c r="C556" t="s">
        <v>19</v>
      </c>
      <c r="D556" t="s">
        <v>70</v>
      </c>
      <c r="E556" t="s">
        <v>402</v>
      </c>
      <c r="F556" t="s">
        <v>306</v>
      </c>
      <c r="G556" t="s">
        <v>48</v>
      </c>
      <c r="H556" t="s">
        <v>72</v>
      </c>
      <c r="K556" t="s">
        <v>111</v>
      </c>
      <c r="L556" t="s">
        <v>59</v>
      </c>
      <c r="M556" t="s">
        <v>153</v>
      </c>
      <c r="N556" t="s">
        <v>403</v>
      </c>
    </row>
    <row r="557" spans="1:14" ht="12.75">
      <c r="A557" t="str">
        <f>HYPERLINK("http://www.onsemi.com/PowerSolutions/product.do?id=MJE5851","MJE5851")</f>
        <v>MJE5851</v>
      </c>
      <c r="B557" t="str">
        <f t="shared" si="22"/>
        <v>MJE5850/D (104.0kB)</v>
      </c>
      <c r="C557" t="s">
        <v>69</v>
      </c>
      <c r="D557" t="s">
        <v>70</v>
      </c>
      <c r="E557" t="s">
        <v>404</v>
      </c>
      <c r="F557" t="s">
        <v>306</v>
      </c>
      <c r="G557" t="s">
        <v>35</v>
      </c>
      <c r="H557" t="s">
        <v>72</v>
      </c>
      <c r="K557" t="s">
        <v>111</v>
      </c>
      <c r="L557" t="s">
        <v>59</v>
      </c>
      <c r="M557" t="s">
        <v>153</v>
      </c>
      <c r="N557" t="s">
        <v>403</v>
      </c>
    </row>
    <row r="558" spans="1:14" ht="12.75">
      <c r="A558" t="str">
        <f>HYPERLINK("http://www.onsemi.com/PowerSolutions/product.do?id=MJE5851G","MJE5851G")</f>
        <v>MJE5851G</v>
      </c>
      <c r="B558" t="str">
        <f t="shared" si="22"/>
        <v>MJE5850/D (104.0kB)</v>
      </c>
      <c r="C558" t="s">
        <v>19</v>
      </c>
      <c r="D558" t="s">
        <v>70</v>
      </c>
      <c r="E558" t="s">
        <v>404</v>
      </c>
      <c r="F558" t="s">
        <v>306</v>
      </c>
      <c r="G558" t="s">
        <v>35</v>
      </c>
      <c r="H558" t="s">
        <v>72</v>
      </c>
      <c r="K558" t="s">
        <v>111</v>
      </c>
      <c r="L558" t="s">
        <v>59</v>
      </c>
      <c r="M558" t="s">
        <v>153</v>
      </c>
      <c r="N558" t="s">
        <v>403</v>
      </c>
    </row>
    <row r="559" spans="1:14" ht="12.75">
      <c r="A559" t="str">
        <f>HYPERLINK("http://www.onsemi.com/PowerSolutions/product.do?id=MJE5852","MJE5852")</f>
        <v>MJE5852</v>
      </c>
      <c r="B559" t="str">
        <f t="shared" si="22"/>
        <v>MJE5850/D (104.0kB)</v>
      </c>
      <c r="C559" t="s">
        <v>69</v>
      </c>
      <c r="D559" t="s">
        <v>70</v>
      </c>
      <c r="E559" t="s">
        <v>405</v>
      </c>
      <c r="F559" t="s">
        <v>306</v>
      </c>
      <c r="G559" t="s">
        <v>125</v>
      </c>
      <c r="H559" t="s">
        <v>72</v>
      </c>
      <c r="K559" t="s">
        <v>111</v>
      </c>
      <c r="L559" t="s">
        <v>59</v>
      </c>
      <c r="M559" t="s">
        <v>153</v>
      </c>
      <c r="N559" t="s">
        <v>100</v>
      </c>
    </row>
    <row r="560" spans="1:14" ht="12.75">
      <c r="A560" t="str">
        <f>HYPERLINK("http://www.onsemi.com/PowerSolutions/product.do?id=MJE5852G","MJE5852G")</f>
        <v>MJE5852G</v>
      </c>
      <c r="B560" t="str">
        <f t="shared" si="22"/>
        <v>MJE5850/D (104.0kB)</v>
      </c>
      <c r="C560" t="s">
        <v>19</v>
      </c>
      <c r="D560" t="s">
        <v>70</v>
      </c>
      <c r="E560" t="s">
        <v>405</v>
      </c>
      <c r="F560" t="s">
        <v>306</v>
      </c>
      <c r="G560" t="s">
        <v>125</v>
      </c>
      <c r="H560" t="s">
        <v>72</v>
      </c>
      <c r="K560" t="s">
        <v>111</v>
      </c>
      <c r="L560" t="s">
        <v>59</v>
      </c>
      <c r="M560" t="s">
        <v>153</v>
      </c>
      <c r="N560" t="s">
        <v>406</v>
      </c>
    </row>
    <row r="561" spans="1:14" ht="12.75">
      <c r="A561" t="str">
        <f>HYPERLINK("http://www.onsemi.com/PowerSolutions/product.do?id=MJF15030","MJF15030")</f>
        <v>MJF15030</v>
      </c>
      <c r="B561" t="str">
        <f>HYPERLINK("http://www.onsemi.com/pub/Collateral/MJF15030-D.PDF","MJF15030/D (134.0kB)")</f>
        <v>MJF15030/D (134.0kB)</v>
      </c>
      <c r="C561" t="s">
        <v>69</v>
      </c>
      <c r="D561" t="s">
        <v>70</v>
      </c>
      <c r="E561" t="s">
        <v>407</v>
      </c>
      <c r="F561" t="s">
        <v>306</v>
      </c>
      <c r="G561" t="s">
        <v>88</v>
      </c>
      <c r="H561" t="s">
        <v>41</v>
      </c>
      <c r="J561" t="s">
        <v>86</v>
      </c>
      <c r="K561" t="s">
        <v>282</v>
      </c>
      <c r="L561" t="s">
        <v>50</v>
      </c>
      <c r="M561" t="s">
        <v>313</v>
      </c>
      <c r="N561" t="s">
        <v>100</v>
      </c>
    </row>
    <row r="562" spans="1:14" ht="12.75">
      <c r="A562" t="str">
        <f>HYPERLINK("http://www.onsemi.com/PowerSolutions/product.do?id=MJF15030G","MJF15030G")</f>
        <v>MJF15030G</v>
      </c>
      <c r="B562" t="str">
        <f>HYPERLINK("http://www.onsemi.com/pub/Collateral/MJF15030-D.PDF","MJF15030/D (134.0kB)")</f>
        <v>MJF15030/D (134.0kB)</v>
      </c>
      <c r="C562" t="s">
        <v>19</v>
      </c>
      <c r="D562" t="s">
        <v>70</v>
      </c>
      <c r="E562" t="s">
        <v>407</v>
      </c>
      <c r="F562" t="s">
        <v>306</v>
      </c>
      <c r="G562" t="s">
        <v>88</v>
      </c>
      <c r="H562" t="s">
        <v>41</v>
      </c>
      <c r="J562" t="s">
        <v>86</v>
      </c>
      <c r="K562" t="s">
        <v>282</v>
      </c>
      <c r="L562" t="s">
        <v>50</v>
      </c>
      <c r="M562" t="s">
        <v>313</v>
      </c>
      <c r="N562" t="s">
        <v>408</v>
      </c>
    </row>
    <row r="563" spans="1:14" ht="12.75">
      <c r="A563" t="str">
        <f>HYPERLINK("http://www.onsemi.com/PowerSolutions/product.do?id=MJF15031","MJF15031")</f>
        <v>MJF15031</v>
      </c>
      <c r="B563" t="str">
        <f>HYPERLINK("http://www.onsemi.com/pub/Collateral/MJF15030-D.PDF","MJF15030/D (134.0kB)")</f>
        <v>MJF15030/D (134.0kB)</v>
      </c>
      <c r="C563" t="s">
        <v>69</v>
      </c>
      <c r="D563" t="s">
        <v>70</v>
      </c>
      <c r="E563" t="s">
        <v>409</v>
      </c>
      <c r="F563" t="s">
        <v>306</v>
      </c>
      <c r="G563" t="s">
        <v>88</v>
      </c>
      <c r="H563" t="s">
        <v>41</v>
      </c>
      <c r="J563" t="s">
        <v>86</v>
      </c>
      <c r="K563" t="s">
        <v>282</v>
      </c>
      <c r="L563" t="s">
        <v>59</v>
      </c>
      <c r="M563" t="s">
        <v>313</v>
      </c>
      <c r="N563" t="s">
        <v>100</v>
      </c>
    </row>
    <row r="564" spans="1:14" ht="12.75">
      <c r="A564" t="str">
        <f>HYPERLINK("http://www.onsemi.com/PowerSolutions/product.do?id=MJF15031G","MJF15031G")</f>
        <v>MJF15031G</v>
      </c>
      <c r="B564" t="str">
        <f>HYPERLINK("http://www.onsemi.com/pub/Collateral/MJF15030-D.PDF","MJF15030/D (134.0kB)")</f>
        <v>MJF15030/D (134.0kB)</v>
      </c>
      <c r="C564" t="s">
        <v>19</v>
      </c>
      <c r="D564" t="s">
        <v>70</v>
      </c>
      <c r="E564" t="s">
        <v>409</v>
      </c>
      <c r="F564" t="s">
        <v>306</v>
      </c>
      <c r="G564" t="s">
        <v>88</v>
      </c>
      <c r="H564" t="s">
        <v>41</v>
      </c>
      <c r="J564" t="s">
        <v>86</v>
      </c>
      <c r="K564" t="s">
        <v>282</v>
      </c>
      <c r="L564" t="s">
        <v>59</v>
      </c>
      <c r="M564" t="s">
        <v>313</v>
      </c>
      <c r="N564" t="s">
        <v>410</v>
      </c>
    </row>
    <row r="565" spans="1:14" ht="12.75">
      <c r="A565" t="str">
        <f>HYPERLINK("http://www.onsemi.com/PowerSolutions/product.do?id=MJF18004G","MJF18004G")</f>
        <v>MJF18004G</v>
      </c>
      <c r="B565" t="str">
        <f>HYPERLINK("http://www.onsemi.com/pub/Collateral/MJE18004-D.PDF","MJE18004/D (207.0kB)")</f>
        <v>MJE18004/D (207.0kB)</v>
      </c>
      <c r="C565" t="s">
        <v>19</v>
      </c>
      <c r="D565" t="s">
        <v>70</v>
      </c>
      <c r="E565" t="s">
        <v>411</v>
      </c>
      <c r="F565" t="s">
        <v>163</v>
      </c>
      <c r="G565" t="s">
        <v>65</v>
      </c>
      <c r="H565" t="s">
        <v>311</v>
      </c>
      <c r="I565" t="s">
        <v>312</v>
      </c>
      <c r="K565" t="s">
        <v>412</v>
      </c>
      <c r="L565" t="s">
        <v>50</v>
      </c>
      <c r="M565" t="s">
        <v>313</v>
      </c>
      <c r="N565" t="s">
        <v>413</v>
      </c>
    </row>
    <row r="566" spans="1:14" ht="12.75">
      <c r="A566" t="str">
        <f>HYPERLINK("http://www.onsemi.com/PowerSolutions/product.do?id=MJF18008G","MJF18008G")</f>
        <v>MJF18008G</v>
      </c>
      <c r="B566" t="str">
        <f>HYPERLINK("http://www.onsemi.com/pub/Collateral/MJE18008-D.PDF","MJE18008/D (203.0kB)")</f>
        <v>MJE18008/D (203.0kB)</v>
      </c>
      <c r="C566" t="s">
        <v>19</v>
      </c>
      <c r="D566" t="s">
        <v>70</v>
      </c>
      <c r="E566" t="s">
        <v>387</v>
      </c>
      <c r="F566" t="s">
        <v>306</v>
      </c>
      <c r="G566" t="s">
        <v>65</v>
      </c>
      <c r="H566" t="s">
        <v>93</v>
      </c>
      <c r="I566" t="s">
        <v>312</v>
      </c>
      <c r="K566" t="s">
        <v>64</v>
      </c>
      <c r="L566" t="s">
        <v>50</v>
      </c>
      <c r="M566" t="s">
        <v>313</v>
      </c>
      <c r="N566" t="s">
        <v>414</v>
      </c>
    </row>
    <row r="567" spans="1:14" ht="12.75">
      <c r="A567" t="str">
        <f>HYPERLINK("http://www.onsemi.com/PowerSolutions/product.do?id=MJF2955","MJF2955")</f>
        <v>MJF2955</v>
      </c>
      <c r="B567" t="str">
        <f>HYPERLINK("http://www.onsemi.com/pub/Collateral/MJF3055-D.PDF","MJF3055/D (115.0kB)")</f>
        <v>MJF3055/D (115.0kB)</v>
      </c>
      <c r="C567" t="s">
        <v>69</v>
      </c>
      <c r="D567" t="s">
        <v>70</v>
      </c>
      <c r="E567" t="s">
        <v>415</v>
      </c>
      <c r="F567" t="s">
        <v>79</v>
      </c>
      <c r="G567" t="s">
        <v>117</v>
      </c>
      <c r="H567" t="s">
        <v>32</v>
      </c>
      <c r="I567" t="s">
        <v>23</v>
      </c>
      <c r="J567" t="s">
        <v>26</v>
      </c>
      <c r="K567" t="s">
        <v>86</v>
      </c>
      <c r="L567" t="s">
        <v>59</v>
      </c>
      <c r="M567" t="s">
        <v>313</v>
      </c>
      <c r="N567" t="s">
        <v>297</v>
      </c>
    </row>
    <row r="568" spans="1:14" ht="12.75">
      <c r="A568" t="str">
        <f>HYPERLINK("http://www.onsemi.com/PowerSolutions/product.do?id=MJF2955G","MJF2955G")</f>
        <v>MJF2955G</v>
      </c>
      <c r="B568" t="str">
        <f>HYPERLINK("http://www.onsemi.com/pub/Collateral/MJF3055-D.PDF","MJF3055/D (115.0kB)")</f>
        <v>MJF3055/D (115.0kB)</v>
      </c>
      <c r="C568" t="s">
        <v>19</v>
      </c>
      <c r="D568" t="s">
        <v>70</v>
      </c>
      <c r="E568" t="s">
        <v>415</v>
      </c>
      <c r="F568" t="s">
        <v>79</v>
      </c>
      <c r="G568" t="s">
        <v>117</v>
      </c>
      <c r="H568" t="s">
        <v>32</v>
      </c>
      <c r="I568" t="s">
        <v>23</v>
      </c>
      <c r="J568" t="s">
        <v>26</v>
      </c>
      <c r="K568" t="s">
        <v>86</v>
      </c>
      <c r="L568" t="s">
        <v>59</v>
      </c>
      <c r="M568" t="s">
        <v>313</v>
      </c>
      <c r="N568" t="s">
        <v>297</v>
      </c>
    </row>
    <row r="569" spans="1:14" ht="12.75">
      <c r="A569" t="str">
        <f>HYPERLINK("http://www.onsemi.com/PowerSolutions/product.do?id=MJF3055","MJF3055")</f>
        <v>MJF3055</v>
      </c>
      <c r="B569" t="str">
        <f>HYPERLINK("http://www.onsemi.com/pub/Collateral/MJF3055-D.PDF","MJF3055/D (115.0kB)")</f>
        <v>MJF3055/D (115.0kB)</v>
      </c>
      <c r="C569" t="s">
        <v>69</v>
      </c>
      <c r="D569" t="s">
        <v>70</v>
      </c>
      <c r="E569" t="s">
        <v>416</v>
      </c>
      <c r="F569" t="s">
        <v>79</v>
      </c>
      <c r="G569" t="s">
        <v>117</v>
      </c>
      <c r="H569" t="s">
        <v>32</v>
      </c>
      <c r="I569" t="s">
        <v>23</v>
      </c>
      <c r="J569" t="s">
        <v>26</v>
      </c>
      <c r="K569" t="s">
        <v>86</v>
      </c>
      <c r="L569" t="s">
        <v>50</v>
      </c>
      <c r="M569" t="s">
        <v>313</v>
      </c>
      <c r="N569" t="s">
        <v>297</v>
      </c>
    </row>
    <row r="570" spans="1:14" ht="12.75">
      <c r="A570" t="str">
        <f>HYPERLINK("http://www.onsemi.com/PowerSolutions/product.do?id=MJF3055G","MJF3055G")</f>
        <v>MJF3055G</v>
      </c>
      <c r="B570" t="str">
        <f>HYPERLINK("http://www.onsemi.com/pub/Collateral/MJF3055-D.PDF","MJF3055/D (115.0kB)")</f>
        <v>MJF3055/D (115.0kB)</v>
      </c>
      <c r="C570" t="s">
        <v>19</v>
      </c>
      <c r="D570" t="s">
        <v>70</v>
      </c>
      <c r="E570" t="s">
        <v>416</v>
      </c>
      <c r="F570" t="s">
        <v>79</v>
      </c>
      <c r="G570" t="s">
        <v>117</v>
      </c>
      <c r="H570" t="s">
        <v>32</v>
      </c>
      <c r="I570" t="s">
        <v>23</v>
      </c>
      <c r="J570" t="s">
        <v>26</v>
      </c>
      <c r="K570" t="s">
        <v>86</v>
      </c>
      <c r="L570" t="s">
        <v>50</v>
      </c>
      <c r="M570" t="s">
        <v>313</v>
      </c>
      <c r="N570" t="s">
        <v>297</v>
      </c>
    </row>
    <row r="571" spans="1:14" ht="12.75">
      <c r="A571" t="str">
        <f>HYPERLINK("http://www.onsemi.com/PowerSolutions/product.do?id=MJF31CG","MJF31CG")</f>
        <v>MJF31CG</v>
      </c>
      <c r="B571" t="str">
        <f>HYPERLINK("http://www.onsemi.com/pub/Collateral/MJF31C-D.PDF","MJF31C/D (122.0kB)")</f>
        <v>MJF31C/D (122.0kB)</v>
      </c>
      <c r="C571" t="s">
        <v>19</v>
      </c>
      <c r="D571" t="s">
        <v>70</v>
      </c>
      <c r="E571" t="s">
        <v>274</v>
      </c>
      <c r="F571" t="s">
        <v>22</v>
      </c>
      <c r="G571" t="s">
        <v>23</v>
      </c>
      <c r="H571" t="s">
        <v>79</v>
      </c>
      <c r="I571" t="s">
        <v>120</v>
      </c>
      <c r="J571" t="s">
        <v>22</v>
      </c>
      <c r="K571" t="s">
        <v>86</v>
      </c>
      <c r="L571" t="s">
        <v>50</v>
      </c>
      <c r="M571" t="s">
        <v>313</v>
      </c>
      <c r="N571" t="s">
        <v>328</v>
      </c>
    </row>
    <row r="572" spans="1:14" ht="12.75">
      <c r="A572" t="str">
        <f>HYPERLINK("http://www.onsemi.com/PowerSolutions/product.do?id=MJF32CG","MJF32CG")</f>
        <v>MJF32CG</v>
      </c>
      <c r="B572" t="str">
        <f>HYPERLINK("http://www.onsemi.com/pub/Collateral/MJF31C-D.PDF","MJF31C/D (122.0kB)")</f>
        <v>MJF31C/D (122.0kB)</v>
      </c>
      <c r="C572" t="s">
        <v>19</v>
      </c>
      <c r="D572" t="s">
        <v>70</v>
      </c>
      <c r="E572" t="s">
        <v>276</v>
      </c>
      <c r="F572" t="s">
        <v>22</v>
      </c>
      <c r="G572" t="s">
        <v>23</v>
      </c>
      <c r="H572" t="s">
        <v>79</v>
      </c>
      <c r="I572" t="s">
        <v>120</v>
      </c>
      <c r="J572" t="s">
        <v>22</v>
      </c>
      <c r="K572" t="s">
        <v>86</v>
      </c>
      <c r="L572" t="s">
        <v>59</v>
      </c>
      <c r="M572" t="s">
        <v>313</v>
      </c>
      <c r="N572" t="s">
        <v>158</v>
      </c>
    </row>
    <row r="573" spans="1:14" ht="12.75">
      <c r="A573" t="str">
        <f>HYPERLINK("http://www.onsemi.com/PowerSolutions/product.do?id=MJF44H11","MJF44H11")</f>
        <v>MJF44H11</v>
      </c>
      <c r="B573" t="str">
        <f>HYPERLINK("http://www.onsemi.com/pub/Collateral/MJF44H11-D.PDF","MJF44H11/D (108.0kB)")</f>
        <v>MJF44H11/D (108.0kB)</v>
      </c>
      <c r="C573" t="s">
        <v>69</v>
      </c>
      <c r="D573" t="s">
        <v>70</v>
      </c>
      <c r="E573" t="s">
        <v>288</v>
      </c>
      <c r="F573" t="s">
        <v>79</v>
      </c>
      <c r="G573" t="s">
        <v>111</v>
      </c>
      <c r="H573" t="s">
        <v>73</v>
      </c>
      <c r="K573" t="s">
        <v>120</v>
      </c>
      <c r="L573" t="s">
        <v>50</v>
      </c>
      <c r="M573" t="s">
        <v>313</v>
      </c>
      <c r="N573" t="s">
        <v>304</v>
      </c>
    </row>
    <row r="574" spans="1:14" ht="12.75">
      <c r="A574" t="str">
        <f>HYPERLINK("http://www.onsemi.com/PowerSolutions/product.do?id=MJF44H11G","MJF44H11G")</f>
        <v>MJF44H11G</v>
      </c>
      <c r="B574" t="str">
        <f>HYPERLINK("http://www.onsemi.com/pub/Collateral/MJF44H11-D.PDF","MJF44H11/D (108.0kB)")</f>
        <v>MJF44H11/D (108.0kB)</v>
      </c>
      <c r="C574" t="s">
        <v>19</v>
      </c>
      <c r="D574" t="s">
        <v>70</v>
      </c>
      <c r="E574" t="s">
        <v>288</v>
      </c>
      <c r="F574" t="s">
        <v>79</v>
      </c>
      <c r="G574" t="s">
        <v>111</v>
      </c>
      <c r="H574" t="s">
        <v>73</v>
      </c>
      <c r="K574" t="s">
        <v>120</v>
      </c>
      <c r="L574" t="s">
        <v>50</v>
      </c>
      <c r="M574" t="s">
        <v>313</v>
      </c>
      <c r="N574" t="s">
        <v>304</v>
      </c>
    </row>
    <row r="575" spans="1:14" ht="12.75">
      <c r="A575" t="str">
        <f>HYPERLINK("http://www.onsemi.com/PowerSolutions/product.do?id=MJF45H11","MJF45H11")</f>
        <v>MJF45H11</v>
      </c>
      <c r="B575" t="str">
        <f>HYPERLINK("http://www.onsemi.com/pub/Collateral/MJF44H11-D.PDF","MJF44H11/D (108.0kB)")</f>
        <v>MJF44H11/D (108.0kB)</v>
      </c>
      <c r="C575" t="s">
        <v>69</v>
      </c>
      <c r="D575" t="s">
        <v>70</v>
      </c>
      <c r="E575" t="s">
        <v>289</v>
      </c>
      <c r="F575" t="s">
        <v>79</v>
      </c>
      <c r="G575" t="s">
        <v>111</v>
      </c>
      <c r="H575" t="s">
        <v>73</v>
      </c>
      <c r="K575" t="s">
        <v>120</v>
      </c>
      <c r="L575" t="s">
        <v>59</v>
      </c>
      <c r="M575" t="s">
        <v>313</v>
      </c>
      <c r="N575" t="s">
        <v>304</v>
      </c>
    </row>
    <row r="576" spans="1:14" ht="12.75">
      <c r="A576" t="str">
        <f>HYPERLINK("http://www.onsemi.com/PowerSolutions/product.do?id=MJF45H11G","MJF45H11G")</f>
        <v>MJF45H11G</v>
      </c>
      <c r="B576" t="str">
        <f>HYPERLINK("http://www.onsemi.com/pub/Collateral/MJF44H11-D.PDF","MJF44H11/D (108.0kB)")</f>
        <v>MJF44H11/D (108.0kB)</v>
      </c>
      <c r="C576" t="s">
        <v>19</v>
      </c>
      <c r="D576" t="s">
        <v>70</v>
      </c>
      <c r="E576" t="s">
        <v>289</v>
      </c>
      <c r="F576" t="s">
        <v>79</v>
      </c>
      <c r="G576" t="s">
        <v>111</v>
      </c>
      <c r="H576" t="s">
        <v>73</v>
      </c>
      <c r="K576" t="s">
        <v>120</v>
      </c>
      <c r="L576" t="s">
        <v>59</v>
      </c>
      <c r="M576" t="s">
        <v>313</v>
      </c>
      <c r="N576" t="s">
        <v>304</v>
      </c>
    </row>
    <row r="577" spans="1:14" ht="12.75">
      <c r="A577" t="str">
        <f>HYPERLINK("http://www.onsemi.com/PowerSolutions/product.do?id=MJF47","MJF47")</f>
        <v>MJF47</v>
      </c>
      <c r="B577" t="str">
        <f>HYPERLINK("http://www.onsemi.com/pub/Collateral/MJF47-D.PDF","MJF47/D (130.0kB)")</f>
        <v>MJF47/D (130.0kB)</v>
      </c>
      <c r="C577" t="s">
        <v>69</v>
      </c>
      <c r="D577" t="s">
        <v>70</v>
      </c>
      <c r="E577" t="s">
        <v>139</v>
      </c>
      <c r="F577" t="s">
        <v>31</v>
      </c>
      <c r="G577" t="s">
        <v>58</v>
      </c>
      <c r="H577" t="s">
        <v>86</v>
      </c>
      <c r="I577" t="s">
        <v>88</v>
      </c>
      <c r="J577" t="s">
        <v>79</v>
      </c>
      <c r="K577" t="s">
        <v>417</v>
      </c>
      <c r="L577" t="s">
        <v>50</v>
      </c>
      <c r="M577" t="s">
        <v>313</v>
      </c>
      <c r="N577" t="s">
        <v>418</v>
      </c>
    </row>
    <row r="578" spans="1:14" ht="12.75">
      <c r="A578" t="str">
        <f>HYPERLINK("http://www.onsemi.com/PowerSolutions/product.do?id=MJF47G","MJF47G")</f>
        <v>MJF47G</v>
      </c>
      <c r="B578" t="str">
        <f>HYPERLINK("http://www.onsemi.com/pub/Collateral/MJF47-D.PDF","MJF47/D (130.0kB)")</f>
        <v>MJF47/D (130.0kB)</v>
      </c>
      <c r="C578" t="s">
        <v>19</v>
      </c>
      <c r="D578" t="s">
        <v>70</v>
      </c>
      <c r="E578" t="s">
        <v>139</v>
      </c>
      <c r="F578" t="s">
        <v>31</v>
      </c>
      <c r="G578" t="s">
        <v>58</v>
      </c>
      <c r="H578" t="s">
        <v>86</v>
      </c>
      <c r="I578" t="s">
        <v>88</v>
      </c>
      <c r="J578" t="s">
        <v>79</v>
      </c>
      <c r="K578" t="s">
        <v>417</v>
      </c>
      <c r="L578" t="s">
        <v>50</v>
      </c>
      <c r="M578" t="s">
        <v>313</v>
      </c>
      <c r="N578" t="s">
        <v>418</v>
      </c>
    </row>
    <row r="579" spans="1:14" ht="12.75">
      <c r="A579" t="str">
        <f>HYPERLINK("http://www.onsemi.com/PowerSolutions/product.do?id=MJW18020G","MJW18020G")</f>
        <v>MJW18020G</v>
      </c>
      <c r="B579" t="str">
        <f>HYPERLINK("http://www.onsemi.com/pub/Collateral/MJW18020-D.PDF","MJW18020/D (65.0kB)")</f>
        <v>MJW18020/D (65.0kB)</v>
      </c>
      <c r="C579" t="s">
        <v>19</v>
      </c>
      <c r="D579" t="s">
        <v>70</v>
      </c>
      <c r="E579" t="s">
        <v>419</v>
      </c>
      <c r="F579" t="s">
        <v>32</v>
      </c>
      <c r="G579" t="s">
        <v>65</v>
      </c>
      <c r="H579" t="s">
        <v>311</v>
      </c>
      <c r="I579" t="s">
        <v>312</v>
      </c>
      <c r="K579" t="s">
        <v>58</v>
      </c>
      <c r="L579" t="s">
        <v>50</v>
      </c>
      <c r="M579" t="s">
        <v>420</v>
      </c>
      <c r="N579" t="s">
        <v>421</v>
      </c>
    </row>
    <row r="580" spans="1:14" ht="12.75">
      <c r="A580" t="str">
        <f>HYPERLINK("http://www.onsemi.com/PowerSolutions/product.do?id=MMBT2131T1G","MMBT2131T1G")</f>
        <v>MMBT2131T1G</v>
      </c>
      <c r="B580" t="str">
        <f>HYPERLINK("http://www.onsemi.com/pub/Collateral/MMBT2131T1-D.PDF","MMBT2131T1/D (60.0kB)")</f>
        <v>MMBT2131T1/D (60.0kB)</v>
      </c>
      <c r="C580" t="s">
        <v>19</v>
      </c>
      <c r="D580" t="s">
        <v>70</v>
      </c>
      <c r="E580" t="s">
        <v>99</v>
      </c>
      <c r="F580" t="s">
        <v>422</v>
      </c>
      <c r="G580" t="s">
        <v>86</v>
      </c>
      <c r="H580" t="s">
        <v>88</v>
      </c>
      <c r="K580" t="s">
        <v>423</v>
      </c>
      <c r="L580" t="s">
        <v>59</v>
      </c>
      <c r="M580" t="s">
        <v>336</v>
      </c>
      <c r="N580" t="s">
        <v>29</v>
      </c>
    </row>
    <row r="581" spans="1:14" ht="12.75">
      <c r="A581" t="str">
        <f>HYPERLINK("http://www.onsemi.com/PowerSolutions/product.do?id=MMBT2222ALT1","MMBT2222ALT1")</f>
        <v>MMBT2222ALT1</v>
      </c>
      <c r="B581" t="str">
        <f>HYPERLINK("http://www.onsemi.com/pub/Collateral/MMBT2222LT1-D.PDF","MMBT2222LT1/D (104.0kB)")</f>
        <v>MMBT2222LT1/D (104.0kB)</v>
      </c>
      <c r="C581" t="s">
        <v>69</v>
      </c>
      <c r="D581" t="s">
        <v>70</v>
      </c>
      <c r="E581" t="s">
        <v>95</v>
      </c>
      <c r="F581" t="s">
        <v>104</v>
      </c>
      <c r="G581" t="s">
        <v>41</v>
      </c>
      <c r="H581" t="s">
        <v>23</v>
      </c>
      <c r="I581" t="s">
        <v>48</v>
      </c>
      <c r="J581" t="s">
        <v>48</v>
      </c>
      <c r="K581" t="s">
        <v>207</v>
      </c>
      <c r="L581" t="s">
        <v>50</v>
      </c>
      <c r="M581" t="s">
        <v>208</v>
      </c>
      <c r="N581" t="s">
        <v>256</v>
      </c>
    </row>
    <row r="582" spans="1:14" ht="12.75">
      <c r="A582" t="str">
        <f>HYPERLINK("http://www.onsemi.com/PowerSolutions/product.do?id=MMBT2222ALT1G","MMBT2222ALT1G")</f>
        <v>MMBT2222ALT1G</v>
      </c>
      <c r="B582" t="str">
        <f>HYPERLINK("http://www.onsemi.com/pub/Collateral/MMBT2222LT1-D.PDF","MMBT2222LT1/D (104.0kB)")</f>
        <v>MMBT2222LT1/D (104.0kB)</v>
      </c>
      <c r="C582" t="s">
        <v>19</v>
      </c>
      <c r="D582" t="s">
        <v>70</v>
      </c>
      <c r="E582" t="s">
        <v>95</v>
      </c>
      <c r="F582" t="s">
        <v>104</v>
      </c>
      <c r="G582" t="s">
        <v>41</v>
      </c>
      <c r="H582" t="s">
        <v>23</v>
      </c>
      <c r="I582" t="s">
        <v>48</v>
      </c>
      <c r="J582" t="s">
        <v>48</v>
      </c>
      <c r="K582" t="s">
        <v>207</v>
      </c>
      <c r="L582" t="s">
        <v>50</v>
      </c>
      <c r="M582" t="s">
        <v>208</v>
      </c>
      <c r="N582" t="s">
        <v>256</v>
      </c>
    </row>
    <row r="583" spans="1:14" ht="12.75">
      <c r="A583" t="str">
        <f>HYPERLINK("http://www.onsemi.com/PowerSolutions/product.do?id=MMBT2222ALT3","MMBT2222ALT3")</f>
        <v>MMBT2222ALT3</v>
      </c>
      <c r="B583" t="str">
        <f>HYPERLINK("http://www.onsemi.com/pub/Collateral/MMBT2222LT1-D.PDF","MMBT2222LT1/D (104.0kB)")</f>
        <v>MMBT2222LT1/D (104.0kB)</v>
      </c>
      <c r="C583" t="s">
        <v>69</v>
      </c>
      <c r="D583" t="s">
        <v>70</v>
      </c>
      <c r="E583" t="s">
        <v>95</v>
      </c>
      <c r="F583" t="s">
        <v>104</v>
      </c>
      <c r="G583" t="s">
        <v>41</v>
      </c>
      <c r="H583" t="s">
        <v>23</v>
      </c>
      <c r="I583" t="s">
        <v>48</v>
      </c>
      <c r="J583" t="s">
        <v>48</v>
      </c>
      <c r="K583" t="s">
        <v>207</v>
      </c>
      <c r="L583" t="s">
        <v>50</v>
      </c>
      <c r="M583" t="s">
        <v>208</v>
      </c>
      <c r="N583" t="s">
        <v>256</v>
      </c>
    </row>
    <row r="584" spans="1:14" ht="12.75">
      <c r="A584" t="str">
        <f>HYPERLINK("http://www.onsemi.com/PowerSolutions/product.do?id=MMBT2222ALT3G","MMBT2222ALT3G")</f>
        <v>MMBT2222ALT3G</v>
      </c>
      <c r="B584" t="str">
        <f>HYPERLINK("http://www.onsemi.com/pub/Collateral/MMBT2222LT1-D.PDF","MMBT2222LT1/D (104.0kB)")</f>
        <v>MMBT2222LT1/D (104.0kB)</v>
      </c>
      <c r="C584" t="s">
        <v>19</v>
      </c>
      <c r="D584" t="s">
        <v>70</v>
      </c>
      <c r="E584" t="s">
        <v>95</v>
      </c>
      <c r="F584" t="s">
        <v>104</v>
      </c>
      <c r="G584" t="s">
        <v>41</v>
      </c>
      <c r="H584" t="s">
        <v>23</v>
      </c>
      <c r="I584" t="s">
        <v>48</v>
      </c>
      <c r="J584" t="s">
        <v>48</v>
      </c>
      <c r="K584" t="s">
        <v>207</v>
      </c>
      <c r="L584" t="s">
        <v>50</v>
      </c>
      <c r="M584" t="s">
        <v>208</v>
      </c>
      <c r="N584" t="s">
        <v>256</v>
      </c>
    </row>
    <row r="585" spans="1:14" ht="12.75">
      <c r="A585" t="str">
        <f>HYPERLINK("http://www.onsemi.com/PowerSolutions/product.do?id=MMBT2222ATT1G","MMBT2222ATT1G")</f>
        <v>MMBT2222ATT1G</v>
      </c>
      <c r="B585" t="str">
        <f>HYPERLINK("http://www.onsemi.com/pub/Collateral/MMBT2222ATT1-D.PDF","MMBT2222ATT1/D (73.0kB)")</f>
        <v>MMBT2222ATT1/D (73.0kB)</v>
      </c>
      <c r="C585" t="s">
        <v>19</v>
      </c>
      <c r="D585" t="s">
        <v>70</v>
      </c>
      <c r="E585" t="s">
        <v>95</v>
      </c>
      <c r="F585" t="s">
        <v>104</v>
      </c>
      <c r="G585" t="s">
        <v>41</v>
      </c>
      <c r="H585" t="s">
        <v>23</v>
      </c>
      <c r="I585" t="s">
        <v>48</v>
      </c>
      <c r="J585" t="s">
        <v>48</v>
      </c>
      <c r="K585" t="s">
        <v>180</v>
      </c>
      <c r="L585" t="s">
        <v>50</v>
      </c>
      <c r="M585" t="s">
        <v>181</v>
      </c>
      <c r="N585" t="s">
        <v>222</v>
      </c>
    </row>
    <row r="586" spans="1:14" ht="12.75">
      <c r="A586" t="str">
        <f>HYPERLINK("http://www.onsemi.com/PowerSolutions/product.do?id=MMBT2222ATT3G","MMBT2222ATT3G")</f>
        <v>MMBT2222ATT3G</v>
      </c>
      <c r="B586" t="str">
        <f>HYPERLINK("http://www.onsemi.com/pub/Collateral/MMBT2222ATT1-D.PDF","MMBT2222ATT1/D (73.0kB)")</f>
        <v>MMBT2222ATT1/D (73.0kB)</v>
      </c>
      <c r="C586" t="s">
        <v>19</v>
      </c>
      <c r="D586" t="s">
        <v>70</v>
      </c>
      <c r="E586" t="s">
        <v>95</v>
      </c>
      <c r="F586" t="s">
        <v>104</v>
      </c>
      <c r="G586" t="s">
        <v>41</v>
      </c>
      <c r="H586" t="s">
        <v>23</v>
      </c>
      <c r="I586" t="s">
        <v>48</v>
      </c>
      <c r="J586" t="s">
        <v>48</v>
      </c>
      <c r="K586" t="s">
        <v>180</v>
      </c>
      <c r="L586" t="s">
        <v>50</v>
      </c>
      <c r="M586" t="s">
        <v>181</v>
      </c>
      <c r="N586" t="s">
        <v>222</v>
      </c>
    </row>
    <row r="587" spans="1:14" ht="12.75">
      <c r="A587" t="str">
        <f>HYPERLINK("http://www.onsemi.com/PowerSolutions/product.do?id=MMBT2222AWT1","MMBT2222AWT1")</f>
        <v>MMBT2222AWT1</v>
      </c>
      <c r="B587" t="str">
        <f>HYPERLINK("http://www.onsemi.com/pub/Collateral/MMBT2222AWT1-D.PDF","MMBT2222AWT1/D (77.0kB)")</f>
        <v>MMBT2222AWT1/D (77.0kB)</v>
      </c>
      <c r="C587" t="s">
        <v>69</v>
      </c>
      <c r="D587" t="s">
        <v>70</v>
      </c>
      <c r="E587" t="s">
        <v>95</v>
      </c>
      <c r="F587" t="s">
        <v>104</v>
      </c>
      <c r="G587" t="s">
        <v>41</v>
      </c>
      <c r="H587" t="s">
        <v>23</v>
      </c>
      <c r="I587" t="s">
        <v>48</v>
      </c>
      <c r="J587" t="s">
        <v>48</v>
      </c>
      <c r="K587" t="s">
        <v>180</v>
      </c>
      <c r="L587" t="s">
        <v>50</v>
      </c>
      <c r="M587" t="s">
        <v>226</v>
      </c>
      <c r="N587" t="s">
        <v>100</v>
      </c>
    </row>
    <row r="588" spans="1:14" ht="12.75">
      <c r="A588" t="str">
        <f>HYPERLINK("http://www.onsemi.com/PowerSolutions/product.do?id=MMBT2222AWT1G","MMBT2222AWT1G")</f>
        <v>MMBT2222AWT1G</v>
      </c>
      <c r="B588" t="str">
        <f>HYPERLINK("http://www.onsemi.com/pub/Collateral/MMBT2222AWT1-D.PDF","MMBT2222AWT1/D (77.0kB)")</f>
        <v>MMBT2222AWT1/D (77.0kB)</v>
      </c>
      <c r="C588" t="s">
        <v>19</v>
      </c>
      <c r="D588" t="s">
        <v>70</v>
      </c>
      <c r="E588" t="s">
        <v>95</v>
      </c>
      <c r="F588" t="s">
        <v>104</v>
      </c>
      <c r="G588" t="s">
        <v>41</v>
      </c>
      <c r="H588" t="s">
        <v>23</v>
      </c>
      <c r="I588" t="s">
        <v>48</v>
      </c>
      <c r="J588" t="s">
        <v>48</v>
      </c>
      <c r="K588" t="s">
        <v>180</v>
      </c>
      <c r="L588" t="s">
        <v>50</v>
      </c>
      <c r="M588" t="s">
        <v>226</v>
      </c>
      <c r="N588" t="s">
        <v>424</v>
      </c>
    </row>
    <row r="589" spans="1:14" ht="12.75">
      <c r="A589" t="str">
        <f>HYPERLINK("http://www.onsemi.com/PowerSolutions/product.do?id=MMBT2222LT1G","MMBT2222LT1G")</f>
        <v>MMBT2222LT1G</v>
      </c>
      <c r="B589" t="str">
        <f>HYPERLINK("http://www.onsemi.com/pub/Collateral/MMBT2222LT1-D.PDF","MMBT2222LT1/D (104.0kB)")</f>
        <v>MMBT2222LT1/D (104.0kB)</v>
      </c>
      <c r="C589" t="s">
        <v>19</v>
      </c>
      <c r="D589" t="s">
        <v>70</v>
      </c>
      <c r="E589" t="s">
        <v>95</v>
      </c>
      <c r="F589" t="s">
        <v>104</v>
      </c>
      <c r="G589" t="s">
        <v>86</v>
      </c>
      <c r="H589" t="s">
        <v>86</v>
      </c>
      <c r="J589" t="s">
        <v>58</v>
      </c>
      <c r="K589" t="s">
        <v>207</v>
      </c>
      <c r="L589" t="s">
        <v>50</v>
      </c>
      <c r="M589" t="s">
        <v>208</v>
      </c>
      <c r="N589" t="s">
        <v>256</v>
      </c>
    </row>
    <row r="590" spans="1:14" ht="12.75">
      <c r="A590" t="str">
        <f>HYPERLINK("http://www.onsemi.com/PowerSolutions/product.do?id=MMBT2484LT1","MMBT2484LT1")</f>
        <v>MMBT2484LT1</v>
      </c>
      <c r="B590" t="str">
        <f>HYPERLINK("http://www.onsemi.com/pub/Collateral/MMBT2484LT1-D.PDF","MMBT2484LT1/D (79.0kB)")</f>
        <v>MMBT2484LT1/D (79.0kB)</v>
      </c>
      <c r="C590" t="s">
        <v>69</v>
      </c>
      <c r="D590" t="s">
        <v>70</v>
      </c>
      <c r="E590" t="s">
        <v>425</v>
      </c>
      <c r="F590" t="s">
        <v>63</v>
      </c>
      <c r="G590" t="s">
        <v>73</v>
      </c>
      <c r="H590" t="s">
        <v>58</v>
      </c>
      <c r="I590" t="s">
        <v>121</v>
      </c>
      <c r="K590" t="s">
        <v>207</v>
      </c>
      <c r="L590" t="s">
        <v>50</v>
      </c>
      <c r="M590" t="s">
        <v>208</v>
      </c>
      <c r="N590" t="s">
        <v>100</v>
      </c>
    </row>
    <row r="591" spans="1:14" ht="12.75">
      <c r="A591" t="str">
        <f>HYPERLINK("http://www.onsemi.com/PowerSolutions/product.do?id=MMBT2484LT1G","MMBT2484LT1G")</f>
        <v>MMBT2484LT1G</v>
      </c>
      <c r="B591" t="str">
        <f>HYPERLINK("http://www.onsemi.com/pub/Collateral/MMBT2484LT1-D.PDF","MMBT2484LT1/D (79.0kB)")</f>
        <v>MMBT2484LT1/D (79.0kB)</v>
      </c>
      <c r="C591" t="s">
        <v>19</v>
      </c>
      <c r="D591" t="s">
        <v>70</v>
      </c>
      <c r="E591" t="s">
        <v>425</v>
      </c>
      <c r="F591" t="s">
        <v>63</v>
      </c>
      <c r="G591" t="s">
        <v>73</v>
      </c>
      <c r="H591" t="s">
        <v>58</v>
      </c>
      <c r="I591" t="s">
        <v>121</v>
      </c>
      <c r="K591" t="s">
        <v>207</v>
      </c>
      <c r="L591" t="s">
        <v>50</v>
      </c>
      <c r="M591" t="s">
        <v>208</v>
      </c>
      <c r="N591" t="s">
        <v>426</v>
      </c>
    </row>
    <row r="592" spans="1:14" ht="12.75">
      <c r="A592" t="str">
        <f>HYPERLINK("http://www.onsemi.com/PowerSolutions/product.do?id=MMBT2484LT3G","MMBT2484LT3G")</f>
        <v>MMBT2484LT3G</v>
      </c>
      <c r="B592" t="str">
        <f>HYPERLINK("http://www.onsemi.com/pub/Collateral/MMBT2484LT1-D.PDF","MMBT2484LT1/D (79.0kB)")</f>
        <v>MMBT2484LT1/D (79.0kB)</v>
      </c>
      <c r="C592" t="s">
        <v>19</v>
      </c>
      <c r="D592" t="s">
        <v>70</v>
      </c>
      <c r="E592" t="s">
        <v>425</v>
      </c>
      <c r="F592" t="s">
        <v>63</v>
      </c>
      <c r="G592" t="s">
        <v>73</v>
      </c>
      <c r="H592" t="s">
        <v>58</v>
      </c>
      <c r="I592" t="s">
        <v>121</v>
      </c>
      <c r="K592" t="s">
        <v>207</v>
      </c>
      <c r="L592" t="s">
        <v>50</v>
      </c>
      <c r="M592" t="s">
        <v>208</v>
      </c>
      <c r="N592" t="s">
        <v>100</v>
      </c>
    </row>
    <row r="593" spans="1:14" ht="12.75">
      <c r="A593" t="str">
        <f>HYPERLINK("http://www.onsemi.com/PowerSolutions/product.do?id=MMBT2907ALT1","MMBT2907ALT1")</f>
        <v>MMBT2907ALT1</v>
      </c>
      <c r="B593" t="str">
        <f>HYPERLINK("http://www.onsemi.com/pub/Collateral/MMBT2907ALT1-D.PDF","MMBT2907ALT1/D (101.0kB)")</f>
        <v>MMBT2907ALT1/D (101.0kB)</v>
      </c>
      <c r="C593" t="s">
        <v>69</v>
      </c>
      <c r="D593" t="s">
        <v>70</v>
      </c>
      <c r="E593" t="s">
        <v>427</v>
      </c>
      <c r="F593" t="s">
        <v>104</v>
      </c>
      <c r="G593" t="s">
        <v>73</v>
      </c>
      <c r="H593" t="s">
        <v>120</v>
      </c>
      <c r="I593" t="s">
        <v>48</v>
      </c>
      <c r="J593" t="s">
        <v>33</v>
      </c>
      <c r="K593" t="s">
        <v>207</v>
      </c>
      <c r="L593" t="s">
        <v>59</v>
      </c>
      <c r="M593" t="s">
        <v>208</v>
      </c>
      <c r="N593" t="s">
        <v>256</v>
      </c>
    </row>
    <row r="594" spans="1:14" ht="12.75">
      <c r="A594" t="str">
        <f>HYPERLINK("http://www.onsemi.com/PowerSolutions/product.do?id=MMBT2907ALT1G","MMBT2907ALT1G")</f>
        <v>MMBT2907ALT1G</v>
      </c>
      <c r="B594" t="str">
        <f>HYPERLINK("http://www.onsemi.com/pub/Collateral/MMBT2907ALT1-D.PDF","MMBT2907ALT1/D (101.0kB)")</f>
        <v>MMBT2907ALT1/D (101.0kB)</v>
      </c>
      <c r="C594" t="s">
        <v>19</v>
      </c>
      <c r="D594" t="s">
        <v>70</v>
      </c>
      <c r="E594" t="s">
        <v>427</v>
      </c>
      <c r="F594" t="s">
        <v>104</v>
      </c>
      <c r="G594" t="s">
        <v>73</v>
      </c>
      <c r="H594" t="s">
        <v>120</v>
      </c>
      <c r="I594" t="s">
        <v>48</v>
      </c>
      <c r="J594" t="s">
        <v>33</v>
      </c>
      <c r="K594" t="s">
        <v>207</v>
      </c>
      <c r="L594" t="s">
        <v>59</v>
      </c>
      <c r="M594" t="s">
        <v>208</v>
      </c>
      <c r="N594" t="s">
        <v>256</v>
      </c>
    </row>
    <row r="595" spans="1:14" ht="12.75">
      <c r="A595" t="str">
        <f>HYPERLINK("http://www.onsemi.com/PowerSolutions/product.do?id=MMBT2907ALT3G","MMBT2907ALT3G")</f>
        <v>MMBT2907ALT3G</v>
      </c>
      <c r="B595" t="str">
        <f>HYPERLINK("http://www.onsemi.com/pub/Collateral/MMBT2907ALT1-D.PDF","MMBT2907ALT1/D (101.0kB)")</f>
        <v>MMBT2907ALT1/D (101.0kB)</v>
      </c>
      <c r="C595" t="s">
        <v>19</v>
      </c>
      <c r="D595" t="s">
        <v>70</v>
      </c>
      <c r="E595" t="s">
        <v>427</v>
      </c>
      <c r="F595" t="s">
        <v>104</v>
      </c>
      <c r="G595" t="s">
        <v>73</v>
      </c>
      <c r="H595" t="s">
        <v>120</v>
      </c>
      <c r="I595" t="s">
        <v>48</v>
      </c>
      <c r="J595" t="s">
        <v>33</v>
      </c>
      <c r="K595" t="s">
        <v>207</v>
      </c>
      <c r="L595" t="s">
        <v>59</v>
      </c>
      <c r="M595" t="s">
        <v>208</v>
      </c>
      <c r="N595" t="s">
        <v>256</v>
      </c>
    </row>
    <row r="596" spans="1:14" ht="12.75">
      <c r="A596" t="str">
        <f>HYPERLINK("http://www.onsemi.com/PowerSolutions/product.do?id=MMBT2907AWT1G","MMBT2907AWT1G")</f>
        <v>MMBT2907AWT1G</v>
      </c>
      <c r="B596" t="str">
        <f>HYPERLINK("http://www.onsemi.com/pub/Collateral/MMBT2907AWT1-D.PDF","MMBT2907AWT1/D (35.0kB)")</f>
        <v>MMBT2907AWT1/D (35.0kB)</v>
      </c>
      <c r="C596" t="s">
        <v>19</v>
      </c>
      <c r="D596" t="s">
        <v>70</v>
      </c>
      <c r="E596" t="s">
        <v>427</v>
      </c>
      <c r="F596" t="s">
        <v>104</v>
      </c>
      <c r="G596" t="s">
        <v>73</v>
      </c>
      <c r="H596" t="s">
        <v>120</v>
      </c>
      <c r="I596" t="s">
        <v>48</v>
      </c>
      <c r="J596" t="s">
        <v>33</v>
      </c>
      <c r="K596" t="s">
        <v>180</v>
      </c>
      <c r="L596" t="s">
        <v>59</v>
      </c>
      <c r="M596" t="s">
        <v>226</v>
      </c>
      <c r="N596" t="s">
        <v>237</v>
      </c>
    </row>
    <row r="597" spans="1:14" ht="12.75">
      <c r="A597" t="str">
        <f>HYPERLINK("http://www.onsemi.com/PowerSolutions/product.do?id=MMBT3416LT3G","MMBT3416LT3G")</f>
        <v>MMBT3416LT3G</v>
      </c>
      <c r="B597" t="str">
        <f>HYPERLINK("http://www.onsemi.com/pub/Collateral/MMBT3416LT3-D.PDF","MMBT3416LT3/D (106.0kB)")</f>
        <v>MMBT3416LT3/D (106.0kB)</v>
      </c>
      <c r="C597" t="s">
        <v>19</v>
      </c>
      <c r="D597" t="s">
        <v>70</v>
      </c>
      <c r="E597" t="s">
        <v>427</v>
      </c>
      <c r="F597" t="s">
        <v>63</v>
      </c>
      <c r="G597" t="s">
        <v>41</v>
      </c>
      <c r="H597" t="s">
        <v>164</v>
      </c>
      <c r="I597" t="s">
        <v>243</v>
      </c>
      <c r="K597" t="s">
        <v>207</v>
      </c>
      <c r="L597" t="s">
        <v>50</v>
      </c>
      <c r="M597" t="s">
        <v>208</v>
      </c>
      <c r="N597" t="s">
        <v>217</v>
      </c>
    </row>
    <row r="598" spans="1:14" ht="12.75">
      <c r="A598" t="str">
        <f>HYPERLINK("http://www.onsemi.com/PowerSolutions/product.do?id=MMBT3904LT1","MMBT3904LT1")</f>
        <v>MMBT3904LT1</v>
      </c>
      <c r="B598" t="str">
        <f>HYPERLINK("http://www.onsemi.com/pub/Collateral/MMBT3904LT1-D.PDF","MMBT3904LT1/D (100.0kB)")</f>
        <v>MMBT3904LT1/D (100.0kB)</v>
      </c>
      <c r="C598" t="s">
        <v>69</v>
      </c>
      <c r="D598" t="s">
        <v>70</v>
      </c>
      <c r="E598" t="s">
        <v>95</v>
      </c>
      <c r="F598" t="s">
        <v>47</v>
      </c>
      <c r="G598" t="s">
        <v>41</v>
      </c>
      <c r="H598" t="s">
        <v>23</v>
      </c>
      <c r="I598" t="s">
        <v>48</v>
      </c>
      <c r="J598" t="s">
        <v>48</v>
      </c>
      <c r="K598" t="s">
        <v>207</v>
      </c>
      <c r="L598" t="s">
        <v>50</v>
      </c>
      <c r="M598" t="s">
        <v>208</v>
      </c>
      <c r="N598" t="s">
        <v>238</v>
      </c>
    </row>
    <row r="599" spans="1:14" ht="12.75">
      <c r="A599" t="str">
        <f>HYPERLINK("http://www.onsemi.com/PowerSolutions/product.do?id=MMBT3904LT1G","MMBT3904LT1G")</f>
        <v>MMBT3904LT1G</v>
      </c>
      <c r="B599" t="str">
        <f>HYPERLINK("http://www.onsemi.com/pub/Collateral/MMBT3904LT1-D.PDF","MMBT3904LT1/D (100.0kB)")</f>
        <v>MMBT3904LT1/D (100.0kB)</v>
      </c>
      <c r="C599" t="s">
        <v>19</v>
      </c>
      <c r="D599" t="s">
        <v>70</v>
      </c>
      <c r="E599" t="s">
        <v>95</v>
      </c>
      <c r="F599" t="s">
        <v>47</v>
      </c>
      <c r="G599" t="s">
        <v>41</v>
      </c>
      <c r="H599" t="s">
        <v>23</v>
      </c>
      <c r="I599" t="s">
        <v>48</v>
      </c>
      <c r="J599" t="s">
        <v>48</v>
      </c>
      <c r="K599" t="s">
        <v>207</v>
      </c>
      <c r="L599" t="s">
        <v>50</v>
      </c>
      <c r="M599" t="s">
        <v>208</v>
      </c>
      <c r="N599" t="s">
        <v>238</v>
      </c>
    </row>
    <row r="600" spans="1:14" ht="12.75">
      <c r="A600" t="str">
        <f>HYPERLINK("http://www.onsemi.com/PowerSolutions/product.do?id=MMBT3904LT3","MMBT3904LT3")</f>
        <v>MMBT3904LT3</v>
      </c>
      <c r="B600" t="str">
        <f>HYPERLINK("http://www.onsemi.com/pub/Collateral/MMBT3904LT1-D.PDF","MMBT3904LT1/D (100.0kB)")</f>
        <v>MMBT3904LT1/D (100.0kB)</v>
      </c>
      <c r="C600" t="s">
        <v>69</v>
      </c>
      <c r="D600" t="s">
        <v>70</v>
      </c>
      <c r="E600" t="s">
        <v>95</v>
      </c>
      <c r="F600" t="s">
        <v>47</v>
      </c>
      <c r="G600" t="s">
        <v>41</v>
      </c>
      <c r="H600" t="s">
        <v>23</v>
      </c>
      <c r="I600" t="s">
        <v>48</v>
      </c>
      <c r="J600" t="s">
        <v>48</v>
      </c>
      <c r="K600" t="s">
        <v>207</v>
      </c>
      <c r="L600" t="s">
        <v>50</v>
      </c>
      <c r="M600" t="s">
        <v>208</v>
      </c>
      <c r="N600" t="s">
        <v>238</v>
      </c>
    </row>
    <row r="601" spans="1:14" ht="12.75">
      <c r="A601" t="str">
        <f>HYPERLINK("http://www.onsemi.com/PowerSolutions/product.do?id=MMBT3904LT3G","MMBT3904LT3G")</f>
        <v>MMBT3904LT3G</v>
      </c>
      <c r="B601" t="str">
        <f>HYPERLINK("http://www.onsemi.com/pub/Collateral/MMBT3904LT1-D.PDF","MMBT3904LT1/D (100.0kB)")</f>
        <v>MMBT3904LT1/D (100.0kB)</v>
      </c>
      <c r="C601" t="s">
        <v>19</v>
      </c>
      <c r="D601" t="s">
        <v>70</v>
      </c>
      <c r="E601" t="s">
        <v>95</v>
      </c>
      <c r="F601" t="s">
        <v>47</v>
      </c>
      <c r="G601" t="s">
        <v>41</v>
      </c>
      <c r="H601" t="s">
        <v>23</v>
      </c>
      <c r="I601" t="s">
        <v>48</v>
      </c>
      <c r="J601" t="s">
        <v>48</v>
      </c>
      <c r="K601" t="s">
        <v>207</v>
      </c>
      <c r="L601" t="s">
        <v>50</v>
      </c>
      <c r="M601" t="s">
        <v>208</v>
      </c>
      <c r="N601" t="s">
        <v>238</v>
      </c>
    </row>
    <row r="602" spans="1:14" ht="12.75">
      <c r="A602" t="str">
        <f>HYPERLINK("http://www.onsemi.com/PowerSolutions/product.do?id=MMBT3904TT1","MMBT3904TT1")</f>
        <v>MMBT3904TT1</v>
      </c>
      <c r="B602" t="str">
        <f>HYPERLINK("http://www.onsemi.com/pub/Collateral/MMBT3904TT1-D.PDF","MMBT3904TT1/D (102.0kB)")</f>
        <v>MMBT3904TT1/D (102.0kB)</v>
      </c>
      <c r="C602" t="s">
        <v>69</v>
      </c>
      <c r="D602" t="s">
        <v>70</v>
      </c>
      <c r="E602" t="s">
        <v>95</v>
      </c>
      <c r="F602" t="s">
        <v>47</v>
      </c>
      <c r="G602" t="s">
        <v>41</v>
      </c>
      <c r="H602" t="s">
        <v>23</v>
      </c>
      <c r="I602" t="s">
        <v>48</v>
      </c>
      <c r="J602" t="s">
        <v>48</v>
      </c>
      <c r="K602" t="s">
        <v>47</v>
      </c>
      <c r="L602" t="s">
        <v>50</v>
      </c>
      <c r="M602" t="s">
        <v>181</v>
      </c>
      <c r="N602" t="s">
        <v>100</v>
      </c>
    </row>
    <row r="603" spans="1:14" ht="12.75">
      <c r="A603" t="str">
        <f>HYPERLINK("http://www.onsemi.com/PowerSolutions/product.do?id=MMBT3904TT1G","MMBT3904TT1G")</f>
        <v>MMBT3904TT1G</v>
      </c>
      <c r="B603" t="str">
        <f>HYPERLINK("http://www.onsemi.com/pub/Collateral/MMBT3904TT1-D.PDF","MMBT3904TT1/D (102.0kB)")</f>
        <v>MMBT3904TT1/D (102.0kB)</v>
      </c>
      <c r="C603" t="s">
        <v>19</v>
      </c>
      <c r="D603" t="s">
        <v>70</v>
      </c>
      <c r="E603" t="s">
        <v>95</v>
      </c>
      <c r="F603" t="s">
        <v>47</v>
      </c>
      <c r="G603" t="s">
        <v>41</v>
      </c>
      <c r="H603" t="s">
        <v>23</v>
      </c>
      <c r="I603" t="s">
        <v>48</v>
      </c>
      <c r="J603" t="s">
        <v>48</v>
      </c>
      <c r="K603" t="s">
        <v>47</v>
      </c>
      <c r="L603" t="s">
        <v>50</v>
      </c>
      <c r="M603" t="s">
        <v>181</v>
      </c>
      <c r="N603" t="s">
        <v>428</v>
      </c>
    </row>
    <row r="604" spans="1:14" ht="12.75">
      <c r="A604" t="str">
        <f>HYPERLINK("http://www.onsemi.com/PowerSolutions/product.do?id=MMBT3904WT1","MMBT3904WT1")</f>
        <v>MMBT3904WT1</v>
      </c>
      <c r="B604" t="str">
        <f>HYPERLINK("http://www.onsemi.com/pub/Collateral/MMBT3904WT1-D.PDF","MMBT3904WT1/D (109.0kB)")</f>
        <v>MMBT3904WT1/D (109.0kB)</v>
      </c>
      <c r="C604" t="s">
        <v>69</v>
      </c>
      <c r="D604" t="s">
        <v>70</v>
      </c>
      <c r="E604" t="s">
        <v>95</v>
      </c>
      <c r="F604" t="s">
        <v>47</v>
      </c>
      <c r="G604" t="s">
        <v>41</v>
      </c>
      <c r="H604" t="s">
        <v>23</v>
      </c>
      <c r="I604" t="s">
        <v>48</v>
      </c>
      <c r="J604" t="s">
        <v>48</v>
      </c>
      <c r="K604" t="s">
        <v>180</v>
      </c>
      <c r="L604" t="s">
        <v>50</v>
      </c>
      <c r="M604" t="s">
        <v>226</v>
      </c>
      <c r="N604" t="s">
        <v>217</v>
      </c>
    </row>
    <row r="605" spans="1:14" ht="12.75">
      <c r="A605" t="str">
        <f>HYPERLINK("http://www.onsemi.com/PowerSolutions/product.do?id=MMBT3904WT1G","MMBT3904WT1G")</f>
        <v>MMBT3904WT1G</v>
      </c>
      <c r="B605" t="str">
        <f>HYPERLINK("http://www.onsemi.com/pub/Collateral/MMBT3904WT1-D.PDF","MMBT3904WT1/D (109.0kB)")</f>
        <v>MMBT3904WT1/D (109.0kB)</v>
      </c>
      <c r="C605" t="s">
        <v>19</v>
      </c>
      <c r="D605" t="s">
        <v>70</v>
      </c>
      <c r="E605" t="s">
        <v>95</v>
      </c>
      <c r="F605" t="s">
        <v>47</v>
      </c>
      <c r="G605" t="s">
        <v>41</v>
      </c>
      <c r="H605" t="s">
        <v>23</v>
      </c>
      <c r="I605" t="s">
        <v>48</v>
      </c>
      <c r="J605" t="s">
        <v>48</v>
      </c>
      <c r="K605" t="s">
        <v>180</v>
      </c>
      <c r="L605" t="s">
        <v>50</v>
      </c>
      <c r="M605" t="s">
        <v>226</v>
      </c>
      <c r="N605" t="s">
        <v>209</v>
      </c>
    </row>
    <row r="606" spans="1:14" ht="12.75">
      <c r="A606" t="str">
        <f>HYPERLINK("http://www.onsemi.com/PowerSolutions/product.do?id=MMBT3906LT1","MMBT3906LT1")</f>
        <v>MMBT3906LT1</v>
      </c>
      <c r="B606" t="str">
        <f>HYPERLINK("http://www.onsemi.com/pub/Collateral/MMBT3906LT1-D.PDF","MMBT3906LT1/D (96.0kB)")</f>
        <v>MMBT3906LT1/D (96.0kB)</v>
      </c>
      <c r="C606" t="s">
        <v>69</v>
      </c>
      <c r="D606" t="s">
        <v>70</v>
      </c>
      <c r="E606" t="s">
        <v>427</v>
      </c>
      <c r="F606" t="s">
        <v>47</v>
      </c>
      <c r="G606" t="s">
        <v>41</v>
      </c>
      <c r="H606" t="s">
        <v>23</v>
      </c>
      <c r="I606" t="s">
        <v>48</v>
      </c>
      <c r="J606" t="s">
        <v>58</v>
      </c>
      <c r="K606" t="s">
        <v>207</v>
      </c>
      <c r="L606" t="s">
        <v>59</v>
      </c>
      <c r="M606" t="s">
        <v>208</v>
      </c>
      <c r="N606" t="s">
        <v>100</v>
      </c>
    </row>
    <row r="607" spans="1:14" ht="12.75">
      <c r="A607" t="str">
        <f>HYPERLINK("http://www.onsemi.com/PowerSolutions/product.do?id=MMBT3906LT1G","MMBT3906LT1G")</f>
        <v>MMBT3906LT1G</v>
      </c>
      <c r="B607" t="str">
        <f>HYPERLINK("http://www.onsemi.com/pub/Collateral/MMBT3906LT1-D.PDF","MMBT3906LT1/D (96.0kB)")</f>
        <v>MMBT3906LT1/D (96.0kB)</v>
      </c>
      <c r="C607" t="s">
        <v>19</v>
      </c>
      <c r="D607" t="s">
        <v>70</v>
      </c>
      <c r="E607" t="s">
        <v>427</v>
      </c>
      <c r="F607" t="s">
        <v>47</v>
      </c>
      <c r="G607" t="s">
        <v>41</v>
      </c>
      <c r="H607" t="s">
        <v>23</v>
      </c>
      <c r="I607" t="s">
        <v>48</v>
      </c>
      <c r="J607" t="s">
        <v>58</v>
      </c>
      <c r="K607" t="s">
        <v>207</v>
      </c>
      <c r="L607" t="s">
        <v>59</v>
      </c>
      <c r="M607" t="s">
        <v>208</v>
      </c>
      <c r="N607" t="s">
        <v>429</v>
      </c>
    </row>
    <row r="608" spans="1:14" ht="12.75">
      <c r="A608" t="str">
        <f>HYPERLINK("http://www.onsemi.com/PowerSolutions/product.do?id=MMBT3906LT3G","MMBT3906LT3G")</f>
        <v>MMBT3906LT3G</v>
      </c>
      <c r="B608" t="str">
        <f>HYPERLINK("http://www.onsemi.com/pub/Collateral/MMBT3906LT1-D.PDF","MMBT3906LT1/D (96.0kB)")</f>
        <v>MMBT3906LT1/D (96.0kB)</v>
      </c>
      <c r="C608" t="s">
        <v>19</v>
      </c>
      <c r="D608" t="s">
        <v>70</v>
      </c>
      <c r="E608" t="s">
        <v>427</v>
      </c>
      <c r="F608" t="s">
        <v>47</v>
      </c>
      <c r="G608" t="s">
        <v>41</v>
      </c>
      <c r="H608" t="s">
        <v>23</v>
      </c>
      <c r="I608" t="s">
        <v>48</v>
      </c>
      <c r="J608" t="s">
        <v>58</v>
      </c>
      <c r="K608" t="s">
        <v>207</v>
      </c>
      <c r="L608" t="s">
        <v>59</v>
      </c>
      <c r="M608" t="s">
        <v>208</v>
      </c>
      <c r="N608" t="s">
        <v>100</v>
      </c>
    </row>
    <row r="609" spans="1:14" ht="12.75">
      <c r="A609" t="str">
        <f>HYPERLINK("http://www.onsemi.com/PowerSolutions/product.do?id=MMBT3906TT1G","MMBT3906TT1G")</f>
        <v>MMBT3906TT1G</v>
      </c>
      <c r="B609" t="str">
        <f>HYPERLINK("http://www.onsemi.com/pub/Collateral/MMBT3906TT1-D.PDF","MMBT3906TT1/D (86.0kB)")</f>
        <v>MMBT3906TT1/D (86.0kB)</v>
      </c>
      <c r="C609" t="s">
        <v>19</v>
      </c>
      <c r="D609" t="s">
        <v>70</v>
      </c>
      <c r="E609" t="s">
        <v>427</v>
      </c>
      <c r="F609" t="s">
        <v>47</v>
      </c>
      <c r="G609" t="s">
        <v>41</v>
      </c>
      <c r="H609" t="s">
        <v>23</v>
      </c>
      <c r="I609" t="s">
        <v>48</v>
      </c>
      <c r="J609" t="s">
        <v>58</v>
      </c>
      <c r="K609" t="s">
        <v>47</v>
      </c>
      <c r="L609" t="s">
        <v>59</v>
      </c>
      <c r="M609" t="s">
        <v>181</v>
      </c>
      <c r="N609" t="s">
        <v>222</v>
      </c>
    </row>
    <row r="610" spans="1:14" ht="12.75">
      <c r="A610" t="str">
        <f>HYPERLINK("http://www.onsemi.com/PowerSolutions/product.do?id=MMBT3906WT1","MMBT3906WT1")</f>
        <v>MMBT3906WT1</v>
      </c>
      <c r="B610" t="str">
        <f>HYPERLINK("http://www.onsemi.com/pub/Collateral/MMBT3904WT1-D.PDF","MMBT3904WT1/D (109.0kB)")</f>
        <v>MMBT3904WT1/D (109.0kB)</v>
      </c>
      <c r="C610" t="s">
        <v>69</v>
      </c>
      <c r="D610" t="s">
        <v>70</v>
      </c>
      <c r="E610" t="s">
        <v>427</v>
      </c>
      <c r="F610" t="s">
        <v>47</v>
      </c>
      <c r="G610" t="s">
        <v>41</v>
      </c>
      <c r="H610" t="s">
        <v>23</v>
      </c>
      <c r="I610" t="s">
        <v>48</v>
      </c>
      <c r="J610" t="s">
        <v>58</v>
      </c>
      <c r="K610" t="s">
        <v>180</v>
      </c>
      <c r="L610" t="s">
        <v>59</v>
      </c>
      <c r="M610" t="s">
        <v>226</v>
      </c>
      <c r="N610" t="s">
        <v>209</v>
      </c>
    </row>
    <row r="611" spans="1:14" ht="12.75">
      <c r="A611" t="str">
        <f>HYPERLINK("http://www.onsemi.com/PowerSolutions/product.do?id=MMBT3906WT1G","MMBT3906WT1G")</f>
        <v>MMBT3906WT1G</v>
      </c>
      <c r="B611" t="str">
        <f>HYPERLINK("http://www.onsemi.com/pub/Collateral/MMBT3904WT1-D.PDF","MMBT3904WT1/D (109.0kB)")</f>
        <v>MMBT3904WT1/D (109.0kB)</v>
      </c>
      <c r="C611" t="s">
        <v>19</v>
      </c>
      <c r="D611" t="s">
        <v>70</v>
      </c>
      <c r="E611" t="s">
        <v>427</v>
      </c>
      <c r="F611" t="s">
        <v>47</v>
      </c>
      <c r="G611" t="s">
        <v>41</v>
      </c>
      <c r="H611" t="s">
        <v>23</v>
      </c>
      <c r="I611" t="s">
        <v>48</v>
      </c>
      <c r="J611" t="s">
        <v>58</v>
      </c>
      <c r="K611" t="s">
        <v>180</v>
      </c>
      <c r="L611" t="s">
        <v>59</v>
      </c>
      <c r="M611" t="s">
        <v>226</v>
      </c>
      <c r="N611" t="s">
        <v>209</v>
      </c>
    </row>
    <row r="612" spans="1:14" ht="12.75">
      <c r="A612" t="str">
        <f>HYPERLINK("http://www.onsemi.com/PowerSolutions/product.do?id=MMBT4124LT1G","MMBT4124LT1G")</f>
        <v>MMBT4124LT1G</v>
      </c>
      <c r="B612" t="str">
        <f>HYPERLINK("http://www.onsemi.com/pub/Collateral/MMBT4124LT1-D.PDF","MMBT4124LT1/D (79.0kB)")</f>
        <v>MMBT4124LT1/D (79.0kB)</v>
      </c>
      <c r="C612" t="s">
        <v>19</v>
      </c>
      <c r="D612" t="s">
        <v>70</v>
      </c>
      <c r="E612" t="s">
        <v>430</v>
      </c>
      <c r="F612" t="s">
        <v>47</v>
      </c>
      <c r="G612" t="s">
        <v>102</v>
      </c>
      <c r="H612" t="s">
        <v>24</v>
      </c>
      <c r="I612" t="s">
        <v>25</v>
      </c>
      <c r="J612" t="s">
        <v>48</v>
      </c>
      <c r="K612" t="s">
        <v>207</v>
      </c>
      <c r="L612" t="s">
        <v>50</v>
      </c>
      <c r="M612" t="s">
        <v>208</v>
      </c>
      <c r="N612" t="s">
        <v>217</v>
      </c>
    </row>
    <row r="613" spans="1:14" ht="12.75">
      <c r="A613" t="str">
        <f>HYPERLINK("http://www.onsemi.com/PowerSolutions/product.do?id=MMBT4126LT1G","MMBT4126LT1G")</f>
        <v>MMBT4126LT1G</v>
      </c>
      <c r="B613" t="str">
        <f>HYPERLINK("http://www.onsemi.com/pub/Collateral/MMBT4126LT1-D.PDF","MMBT4126LT1/D (68.0kB)")</f>
        <v>MMBT4126LT1/D (68.0kB)</v>
      </c>
      <c r="C613" t="s">
        <v>19</v>
      </c>
      <c r="D613" t="s">
        <v>70</v>
      </c>
      <c r="E613" t="s">
        <v>427</v>
      </c>
      <c r="F613" t="s">
        <v>47</v>
      </c>
      <c r="G613" t="s">
        <v>102</v>
      </c>
      <c r="H613" t="s">
        <v>24</v>
      </c>
      <c r="I613" t="s">
        <v>48</v>
      </c>
      <c r="J613" t="s">
        <v>58</v>
      </c>
      <c r="K613" t="s">
        <v>207</v>
      </c>
      <c r="L613" t="s">
        <v>59</v>
      </c>
      <c r="M613" t="s">
        <v>208</v>
      </c>
      <c r="N613" t="s">
        <v>217</v>
      </c>
    </row>
    <row r="614" spans="1:14" ht="12.75">
      <c r="A614" t="str">
        <f>HYPERLINK("http://www.onsemi.com/PowerSolutions/product.do?id=MMBT4401LT1","MMBT4401LT1")</f>
        <v>MMBT4401LT1</v>
      </c>
      <c r="B614" t="str">
        <f>HYPERLINK("http://www.onsemi.com/pub/Collateral/MMBT4401LT1-D.PDF","MMBT4401LT1/D (101.0kB)")</f>
        <v>MMBT4401LT1/D (101.0kB)</v>
      </c>
      <c r="C614" t="s">
        <v>69</v>
      </c>
      <c r="D614" t="s">
        <v>70</v>
      </c>
      <c r="E614" t="s">
        <v>431</v>
      </c>
      <c r="F614" t="s">
        <v>104</v>
      </c>
      <c r="G614" t="s">
        <v>41</v>
      </c>
      <c r="H614" t="s">
        <v>23</v>
      </c>
      <c r="I614" t="s">
        <v>48</v>
      </c>
      <c r="J614" t="s">
        <v>58</v>
      </c>
      <c r="K614" t="s">
        <v>207</v>
      </c>
      <c r="L614" t="s">
        <v>50</v>
      </c>
      <c r="M614" t="s">
        <v>208</v>
      </c>
      <c r="N614" t="s">
        <v>209</v>
      </c>
    </row>
    <row r="615" spans="1:14" ht="12.75">
      <c r="A615" t="str">
        <f>HYPERLINK("http://www.onsemi.com/PowerSolutions/product.do?id=MMBT4401LT1G","MMBT4401LT1G")</f>
        <v>MMBT4401LT1G</v>
      </c>
      <c r="B615" t="str">
        <f>HYPERLINK("http://www.onsemi.com/pub/Collateral/MMBT4401LT1-D.PDF","MMBT4401LT1/D (101.0kB)")</f>
        <v>MMBT4401LT1/D (101.0kB)</v>
      </c>
      <c r="C615" t="s">
        <v>19</v>
      </c>
      <c r="D615" t="s">
        <v>70</v>
      </c>
      <c r="E615" t="s">
        <v>431</v>
      </c>
      <c r="F615" t="s">
        <v>104</v>
      </c>
      <c r="G615" t="s">
        <v>41</v>
      </c>
      <c r="H615" t="s">
        <v>23</v>
      </c>
      <c r="I615" t="s">
        <v>48</v>
      </c>
      <c r="J615" t="s">
        <v>58</v>
      </c>
      <c r="K615" t="s">
        <v>207</v>
      </c>
      <c r="L615" t="s">
        <v>50</v>
      </c>
      <c r="M615" t="s">
        <v>208</v>
      </c>
      <c r="N615" t="s">
        <v>209</v>
      </c>
    </row>
    <row r="616" spans="1:14" ht="12.75">
      <c r="A616" t="str">
        <f>HYPERLINK("http://www.onsemi.com/PowerSolutions/product.do?id=MMBT4401LT3G","MMBT4401LT3G")</f>
        <v>MMBT4401LT3G</v>
      </c>
      <c r="B616" t="str">
        <f>HYPERLINK("http://www.onsemi.com/pub/Collateral/MMBT4401LT1-D.PDF","MMBT4401LT1/D (101.0kB)")</f>
        <v>MMBT4401LT1/D (101.0kB)</v>
      </c>
      <c r="C616" t="s">
        <v>19</v>
      </c>
      <c r="D616" t="s">
        <v>70</v>
      </c>
      <c r="E616" t="s">
        <v>431</v>
      </c>
      <c r="F616" t="s">
        <v>104</v>
      </c>
      <c r="G616" t="s">
        <v>41</v>
      </c>
      <c r="H616" t="s">
        <v>23</v>
      </c>
      <c r="I616" t="s">
        <v>48</v>
      </c>
      <c r="J616" t="s">
        <v>58</v>
      </c>
      <c r="K616" t="s">
        <v>207</v>
      </c>
      <c r="L616" t="s">
        <v>50</v>
      </c>
      <c r="M616" t="s">
        <v>208</v>
      </c>
      <c r="N616" t="s">
        <v>209</v>
      </c>
    </row>
    <row r="617" spans="1:14" ht="12.75">
      <c r="A617" t="str">
        <f>HYPERLINK("http://www.onsemi.com/PowerSolutions/product.do?id=MMBT4401WT1G","MMBT4401WT1G")</f>
        <v>MMBT4401WT1G</v>
      </c>
      <c r="B617" t="str">
        <f>HYPERLINK("http://www.onsemi.com/pub/Collateral/MMBT4401WT1-D.PDF","MMBT4401WT1/D (109.0kB)")</f>
        <v>MMBT4401WT1/D (109.0kB)</v>
      </c>
      <c r="C617" t="s">
        <v>19</v>
      </c>
      <c r="D617" t="s">
        <v>70</v>
      </c>
      <c r="E617" t="s">
        <v>431</v>
      </c>
      <c r="F617" t="s">
        <v>104</v>
      </c>
      <c r="G617" t="s">
        <v>41</v>
      </c>
      <c r="H617" t="s">
        <v>23</v>
      </c>
      <c r="I617" t="s">
        <v>48</v>
      </c>
      <c r="J617" t="s">
        <v>58</v>
      </c>
      <c r="K617" t="s">
        <v>180</v>
      </c>
      <c r="L617" t="s">
        <v>50</v>
      </c>
      <c r="M617" t="s">
        <v>226</v>
      </c>
      <c r="N617" t="s">
        <v>237</v>
      </c>
    </row>
    <row r="618" spans="1:14" ht="12.75">
      <c r="A618" t="str">
        <f>HYPERLINK("http://www.onsemi.com/PowerSolutions/product.do?id=MMBT4403LT1","MMBT4403LT1")</f>
        <v>MMBT4403LT1</v>
      </c>
      <c r="B618" t="str">
        <f>HYPERLINK("http://www.onsemi.com/pub/Collateral/MMBT4403LT1-D.PDF","MMBT4403LT1/D (100.0kB)")</f>
        <v>MMBT4403LT1/D (100.0kB)</v>
      </c>
      <c r="C618" t="s">
        <v>69</v>
      </c>
      <c r="D618" t="s">
        <v>70</v>
      </c>
      <c r="E618" t="s">
        <v>432</v>
      </c>
      <c r="F618" t="s">
        <v>104</v>
      </c>
      <c r="G618" t="s">
        <v>41</v>
      </c>
      <c r="H618" t="s">
        <v>23</v>
      </c>
      <c r="I618" t="s">
        <v>48</v>
      </c>
      <c r="J618" t="s">
        <v>33</v>
      </c>
      <c r="K618" t="s">
        <v>207</v>
      </c>
      <c r="L618" t="s">
        <v>59</v>
      </c>
      <c r="M618" t="s">
        <v>208</v>
      </c>
      <c r="N618" t="s">
        <v>209</v>
      </c>
    </row>
    <row r="619" spans="1:14" ht="12.75">
      <c r="A619" t="str">
        <f>HYPERLINK("http://www.onsemi.com/PowerSolutions/product.do?id=MMBT4403LT1G","MMBT4403LT1G")</f>
        <v>MMBT4403LT1G</v>
      </c>
      <c r="B619" t="str">
        <f>HYPERLINK("http://www.onsemi.com/pub/Collateral/MMBT4403LT1-D.PDF","MMBT4403LT1/D (100.0kB)")</f>
        <v>MMBT4403LT1/D (100.0kB)</v>
      </c>
      <c r="C619" t="s">
        <v>19</v>
      </c>
      <c r="D619" t="s">
        <v>70</v>
      </c>
      <c r="E619" t="s">
        <v>432</v>
      </c>
      <c r="F619" t="s">
        <v>104</v>
      </c>
      <c r="G619" t="s">
        <v>41</v>
      </c>
      <c r="H619" t="s">
        <v>23</v>
      </c>
      <c r="I619" t="s">
        <v>48</v>
      </c>
      <c r="J619" t="s">
        <v>33</v>
      </c>
      <c r="K619" t="s">
        <v>207</v>
      </c>
      <c r="L619" t="s">
        <v>59</v>
      </c>
      <c r="M619" t="s">
        <v>208</v>
      </c>
      <c r="N619" t="s">
        <v>209</v>
      </c>
    </row>
    <row r="620" spans="1:14" ht="12.75">
      <c r="A620" t="str">
        <f>HYPERLINK("http://www.onsemi.com/PowerSolutions/product.do?id=MMBT4403LT3G","MMBT4403LT3G")</f>
        <v>MMBT4403LT3G</v>
      </c>
      <c r="B620" t="str">
        <f>HYPERLINK("http://www.onsemi.com/pub/Collateral/MMBT4403LT1-D.PDF","MMBT4403LT1/D (100.0kB)")</f>
        <v>MMBT4403LT1/D (100.0kB)</v>
      </c>
      <c r="C620" t="s">
        <v>19</v>
      </c>
      <c r="D620" t="s">
        <v>70</v>
      </c>
      <c r="E620" t="s">
        <v>432</v>
      </c>
      <c r="F620" t="s">
        <v>104</v>
      </c>
      <c r="G620" t="s">
        <v>41</v>
      </c>
      <c r="H620" t="s">
        <v>23</v>
      </c>
      <c r="I620" t="s">
        <v>48</v>
      </c>
      <c r="J620" t="s">
        <v>33</v>
      </c>
      <c r="K620" t="s">
        <v>207</v>
      </c>
      <c r="L620" t="s">
        <v>59</v>
      </c>
      <c r="M620" t="s">
        <v>208</v>
      </c>
      <c r="N620" t="s">
        <v>209</v>
      </c>
    </row>
    <row r="621" spans="1:14" ht="12.75">
      <c r="A621" t="str">
        <f>HYPERLINK("http://www.onsemi.com/PowerSolutions/product.do?id=MMBT4403WT1G","MMBT4403WT1G")</f>
        <v>MMBT4403WT1G</v>
      </c>
      <c r="B621" t="str">
        <f>HYPERLINK("http://www.onsemi.com/pub/Collateral/MMBT4403WT1-D.PDF","MMBT4403WT1/D (171.0kB)")</f>
        <v>MMBT4403WT1/D (171.0kB)</v>
      </c>
      <c r="C621" t="s">
        <v>19</v>
      </c>
      <c r="D621" t="s">
        <v>70</v>
      </c>
      <c r="E621" t="s">
        <v>432</v>
      </c>
      <c r="F621" t="s">
        <v>104</v>
      </c>
      <c r="G621" t="s">
        <v>41</v>
      </c>
      <c r="H621" t="s">
        <v>23</v>
      </c>
      <c r="I621" t="s">
        <v>48</v>
      </c>
      <c r="J621" t="s">
        <v>33</v>
      </c>
      <c r="K621" t="s">
        <v>180</v>
      </c>
      <c r="L621" t="s">
        <v>59</v>
      </c>
      <c r="M621" t="s">
        <v>226</v>
      </c>
      <c r="N621" t="s">
        <v>237</v>
      </c>
    </row>
    <row r="622" spans="1:14" ht="12.75">
      <c r="A622" t="str">
        <f>HYPERLINK("http://www.onsemi.com/PowerSolutions/product.do?id=MMBT489LT1G","MMBT489LT1G")</f>
        <v>MMBT489LT1G</v>
      </c>
      <c r="B622" t="str">
        <f>HYPERLINK("http://www.onsemi.com/pub/Collateral/MMBT489LT1-D.PDF","MMBT489LT1/D (56.0kB)")</f>
        <v>MMBT489LT1/D (56.0kB)</v>
      </c>
      <c r="C622" t="s">
        <v>19</v>
      </c>
      <c r="D622" t="s">
        <v>70</v>
      </c>
      <c r="E622" t="s">
        <v>433</v>
      </c>
      <c r="F622" t="s">
        <v>31</v>
      </c>
      <c r="G622" t="s">
        <v>86</v>
      </c>
      <c r="H622" t="s">
        <v>48</v>
      </c>
      <c r="I622" t="s">
        <v>123</v>
      </c>
      <c r="J622" t="s">
        <v>23</v>
      </c>
      <c r="K622" t="s">
        <v>434</v>
      </c>
      <c r="L622" t="s">
        <v>50</v>
      </c>
      <c r="M622" t="s">
        <v>208</v>
      </c>
      <c r="N622" t="s">
        <v>435</v>
      </c>
    </row>
    <row r="623" spans="1:14" ht="12.75">
      <c r="A623" t="str">
        <f>HYPERLINK("http://www.onsemi.com/PowerSolutions/product.do?id=MMBT5087LT1","MMBT5087LT1")</f>
        <v>MMBT5087LT1</v>
      </c>
      <c r="B623" t="str">
        <f>HYPERLINK("http://www.onsemi.com/pub/Collateral/MMBT5087LT1-D.PDF","MMBT5087LT1/D (96.0kB)")</f>
        <v>MMBT5087LT1/D (96.0kB)</v>
      </c>
      <c r="C623" t="s">
        <v>69</v>
      </c>
      <c r="D623" t="s">
        <v>70</v>
      </c>
      <c r="E623" t="s">
        <v>436</v>
      </c>
      <c r="F623" t="s">
        <v>119</v>
      </c>
      <c r="G623" t="s">
        <v>120</v>
      </c>
      <c r="H623" t="s">
        <v>58</v>
      </c>
      <c r="I623" t="s">
        <v>121</v>
      </c>
      <c r="J623" t="s">
        <v>41</v>
      </c>
      <c r="K623" t="s">
        <v>214</v>
      </c>
      <c r="L623" t="s">
        <v>59</v>
      </c>
      <c r="M623" t="s">
        <v>208</v>
      </c>
      <c r="N623" t="s">
        <v>100</v>
      </c>
    </row>
    <row r="624" spans="1:14" ht="12.75">
      <c r="A624" t="str">
        <f>HYPERLINK("http://www.onsemi.com/PowerSolutions/product.do?id=MMBT5087LT1G","MMBT5087LT1G")</f>
        <v>MMBT5087LT1G</v>
      </c>
      <c r="B624" t="str">
        <f>HYPERLINK("http://www.onsemi.com/pub/Collateral/MMBT5087LT1-D.PDF","MMBT5087LT1/D (96.0kB)")</f>
        <v>MMBT5087LT1/D (96.0kB)</v>
      </c>
      <c r="C624" t="s">
        <v>19</v>
      </c>
      <c r="D624" t="s">
        <v>70</v>
      </c>
      <c r="E624" t="s">
        <v>436</v>
      </c>
      <c r="F624" t="s">
        <v>119</v>
      </c>
      <c r="G624" t="s">
        <v>120</v>
      </c>
      <c r="H624" t="s">
        <v>58</v>
      </c>
      <c r="I624" t="s">
        <v>121</v>
      </c>
      <c r="J624" t="s">
        <v>41</v>
      </c>
      <c r="K624" t="s">
        <v>214</v>
      </c>
      <c r="L624" t="s">
        <v>59</v>
      </c>
      <c r="M624" t="s">
        <v>208</v>
      </c>
      <c r="N624" t="s">
        <v>437</v>
      </c>
    </row>
    <row r="625" spans="1:14" ht="12.75">
      <c r="A625" t="str">
        <f>HYPERLINK("http://www.onsemi.com/PowerSolutions/product.do?id=MMBT5087LT3G","MMBT5087LT3G")</f>
        <v>MMBT5087LT3G</v>
      </c>
      <c r="B625" t="str">
        <f>HYPERLINK("http://www.onsemi.com/pub/Collateral/MMBT5087LT1-D.PDF","MMBT5087LT1/D (96.0kB)")</f>
        <v>MMBT5087LT1/D (96.0kB)</v>
      </c>
      <c r="C625" t="s">
        <v>19</v>
      </c>
      <c r="D625" t="s">
        <v>70</v>
      </c>
      <c r="E625" t="s">
        <v>436</v>
      </c>
      <c r="F625" t="s">
        <v>119</v>
      </c>
      <c r="G625" t="s">
        <v>120</v>
      </c>
      <c r="H625" t="s">
        <v>58</v>
      </c>
      <c r="I625" t="s">
        <v>121</v>
      </c>
      <c r="J625" t="s">
        <v>41</v>
      </c>
      <c r="K625" t="s">
        <v>214</v>
      </c>
      <c r="L625" t="s">
        <v>59</v>
      </c>
      <c r="M625" t="s">
        <v>208</v>
      </c>
      <c r="N625" t="s">
        <v>100</v>
      </c>
    </row>
    <row r="626" spans="1:14" ht="12.75">
      <c r="A626" t="str">
        <f>HYPERLINK("http://www.onsemi.com/PowerSolutions/product.do?id=MMBT5088LT1","MMBT5088LT1")</f>
        <v>MMBT5088LT1</v>
      </c>
      <c r="B626" t="str">
        <f>HYPERLINK("http://www.onsemi.com/pub/Collateral/MMBT5088LT1-D.PDF","MMBT5088LT1/D (80.0kB)")</f>
        <v>MMBT5088LT1/D (80.0kB)</v>
      </c>
      <c r="C626" t="s">
        <v>69</v>
      </c>
      <c r="D626" t="s">
        <v>70</v>
      </c>
      <c r="E626" t="s">
        <v>438</v>
      </c>
      <c r="F626" t="s">
        <v>119</v>
      </c>
      <c r="G626" t="s">
        <v>86</v>
      </c>
      <c r="H626" t="s">
        <v>48</v>
      </c>
      <c r="I626" t="s">
        <v>123</v>
      </c>
      <c r="J626" t="s">
        <v>120</v>
      </c>
      <c r="K626" t="s">
        <v>207</v>
      </c>
      <c r="L626" t="s">
        <v>50</v>
      </c>
      <c r="M626" t="s">
        <v>208</v>
      </c>
      <c r="N626" t="s">
        <v>100</v>
      </c>
    </row>
    <row r="627" spans="1:14" ht="12.75">
      <c r="A627" t="str">
        <f>HYPERLINK("http://www.onsemi.com/PowerSolutions/product.do?id=MMBT5088LT1G","MMBT5088LT1G")</f>
        <v>MMBT5088LT1G</v>
      </c>
      <c r="B627" t="str">
        <f>HYPERLINK("http://www.onsemi.com/pub/Collateral/MMBT5088LT1-D.PDF","MMBT5088LT1/D (80.0kB)")</f>
        <v>MMBT5088LT1/D (80.0kB)</v>
      </c>
      <c r="C627" t="s">
        <v>19</v>
      </c>
      <c r="D627" t="s">
        <v>70</v>
      </c>
      <c r="E627" t="s">
        <v>438</v>
      </c>
      <c r="F627" t="s">
        <v>119</v>
      </c>
      <c r="G627" t="s">
        <v>86</v>
      </c>
      <c r="H627" t="s">
        <v>48</v>
      </c>
      <c r="I627" t="s">
        <v>123</v>
      </c>
      <c r="J627" t="s">
        <v>120</v>
      </c>
      <c r="K627" t="s">
        <v>207</v>
      </c>
      <c r="L627" t="s">
        <v>50</v>
      </c>
      <c r="M627" t="s">
        <v>208</v>
      </c>
      <c r="N627" t="s">
        <v>439</v>
      </c>
    </row>
    <row r="628" spans="1:14" ht="12.75">
      <c r="A628" t="str">
        <f>HYPERLINK("http://www.onsemi.com/PowerSolutions/product.do?id=MMBT5089LT1","MMBT5089LT1")</f>
        <v>MMBT5089LT1</v>
      </c>
      <c r="B628" t="str">
        <f>HYPERLINK("http://www.onsemi.com/pub/Collateral/MMBT5088LT1-D.PDF","MMBT5088LT1/D (80.0kB)")</f>
        <v>MMBT5088LT1/D (80.0kB)</v>
      </c>
      <c r="C628" t="s">
        <v>69</v>
      </c>
      <c r="D628" t="s">
        <v>70</v>
      </c>
      <c r="E628" t="s">
        <v>438</v>
      </c>
      <c r="F628" t="s">
        <v>119</v>
      </c>
      <c r="G628" t="s">
        <v>102</v>
      </c>
      <c r="H628" t="s">
        <v>125</v>
      </c>
      <c r="I628" t="s">
        <v>126</v>
      </c>
      <c r="J628" t="s">
        <v>120</v>
      </c>
      <c r="K628" t="s">
        <v>207</v>
      </c>
      <c r="L628" t="s">
        <v>50</v>
      </c>
      <c r="M628" t="s">
        <v>208</v>
      </c>
      <c r="N628" t="s">
        <v>100</v>
      </c>
    </row>
    <row r="629" spans="1:14" ht="12.75">
      <c r="A629" t="str">
        <f>HYPERLINK("http://www.onsemi.com/PowerSolutions/product.do?id=MMBT5089LT1G","MMBT5089LT1G")</f>
        <v>MMBT5089LT1G</v>
      </c>
      <c r="B629" t="str">
        <f>HYPERLINK("http://www.onsemi.com/pub/Collateral/MMBT5088LT1-D.PDF","MMBT5088LT1/D (80.0kB)")</f>
        <v>MMBT5088LT1/D (80.0kB)</v>
      </c>
      <c r="C629" t="s">
        <v>19</v>
      </c>
      <c r="D629" t="s">
        <v>70</v>
      </c>
      <c r="E629" t="s">
        <v>438</v>
      </c>
      <c r="F629" t="s">
        <v>119</v>
      </c>
      <c r="G629" t="s">
        <v>102</v>
      </c>
      <c r="H629" t="s">
        <v>125</v>
      </c>
      <c r="I629" t="s">
        <v>126</v>
      </c>
      <c r="J629" t="s">
        <v>120</v>
      </c>
      <c r="K629" t="s">
        <v>207</v>
      </c>
      <c r="L629" t="s">
        <v>50</v>
      </c>
      <c r="M629" t="s">
        <v>208</v>
      </c>
      <c r="N629" t="s">
        <v>440</v>
      </c>
    </row>
    <row r="630" spans="1:14" ht="12.75">
      <c r="A630" t="str">
        <f>HYPERLINK("http://www.onsemi.com/PowerSolutions/product.do?id=MMBT5401LT1","MMBT5401LT1")</f>
        <v>MMBT5401LT1</v>
      </c>
      <c r="B630" t="str">
        <f>HYPERLINK("http://www.onsemi.com/pub/Collateral/MMBT5401LT1-D.PDF","MMBT5401LT1/D (91.0kB)")</f>
        <v>MMBT5401LT1/D (91.0kB)</v>
      </c>
      <c r="C630" t="s">
        <v>69</v>
      </c>
      <c r="D630" t="s">
        <v>70</v>
      </c>
      <c r="E630" t="s">
        <v>441</v>
      </c>
      <c r="F630" t="s">
        <v>135</v>
      </c>
      <c r="G630" t="s">
        <v>88</v>
      </c>
      <c r="H630" t="s">
        <v>73</v>
      </c>
      <c r="I630" t="s">
        <v>136</v>
      </c>
      <c r="J630" t="s">
        <v>23</v>
      </c>
      <c r="K630" t="s">
        <v>207</v>
      </c>
      <c r="L630" t="s">
        <v>59</v>
      </c>
      <c r="M630" t="s">
        <v>208</v>
      </c>
      <c r="N630" t="s">
        <v>100</v>
      </c>
    </row>
    <row r="631" spans="1:14" ht="12.75">
      <c r="A631" t="str">
        <f>HYPERLINK("http://www.onsemi.com/PowerSolutions/product.do?id=MMBT5401LT1G","MMBT5401LT1G")</f>
        <v>MMBT5401LT1G</v>
      </c>
      <c r="B631" t="str">
        <f>HYPERLINK("http://www.onsemi.com/pub/Collateral/MMBT5401LT1-D.PDF","MMBT5401LT1/D (91.0kB)")</f>
        <v>MMBT5401LT1/D (91.0kB)</v>
      </c>
      <c r="C631" t="s">
        <v>19</v>
      </c>
      <c r="D631" t="s">
        <v>70</v>
      </c>
      <c r="E631" t="s">
        <v>441</v>
      </c>
      <c r="F631" t="s">
        <v>135</v>
      </c>
      <c r="G631" t="s">
        <v>88</v>
      </c>
      <c r="H631" t="s">
        <v>73</v>
      </c>
      <c r="I631" t="s">
        <v>136</v>
      </c>
      <c r="J631" t="s">
        <v>23</v>
      </c>
      <c r="K631" t="s">
        <v>207</v>
      </c>
      <c r="L631" t="s">
        <v>59</v>
      </c>
      <c r="M631" t="s">
        <v>208</v>
      </c>
      <c r="N631" t="s">
        <v>442</v>
      </c>
    </row>
    <row r="632" spans="1:14" ht="12.75">
      <c r="A632" t="str">
        <f>HYPERLINK("http://www.onsemi.com/PowerSolutions/product.do?id=MMBT5401LT3G","MMBT5401LT3G")</f>
        <v>MMBT5401LT3G</v>
      </c>
      <c r="B632" t="str">
        <f>HYPERLINK("http://www.onsemi.com/pub/Collateral/MMBT5401LT1-D.PDF","MMBT5401LT1/D (91.0kB)")</f>
        <v>MMBT5401LT1/D (91.0kB)</v>
      </c>
      <c r="C632" t="s">
        <v>19</v>
      </c>
      <c r="D632" t="s">
        <v>70</v>
      </c>
      <c r="E632" t="s">
        <v>441</v>
      </c>
      <c r="F632" t="s">
        <v>135</v>
      </c>
      <c r="G632" t="s">
        <v>88</v>
      </c>
      <c r="H632" t="s">
        <v>73</v>
      </c>
      <c r="I632" t="s">
        <v>136</v>
      </c>
      <c r="J632" t="s">
        <v>23</v>
      </c>
      <c r="K632" t="s">
        <v>207</v>
      </c>
      <c r="L632" t="s">
        <v>59</v>
      </c>
      <c r="M632" t="s">
        <v>208</v>
      </c>
      <c r="N632" t="s">
        <v>100</v>
      </c>
    </row>
    <row r="633" spans="1:14" ht="12.75">
      <c r="A633" t="str">
        <f>HYPERLINK("http://www.onsemi.com/PowerSolutions/product.do?id=MMBT5550LT1","MMBT5550LT1")</f>
        <v>MMBT5550LT1</v>
      </c>
      <c r="B633" t="str">
        <f aca="true" t="shared" si="23" ref="B633:B638">HYPERLINK("http://www.onsemi.com/pub/Collateral/MMBT5550LT1-D.PDF","MMBT5550LT1/D (91.0kB)")</f>
        <v>MMBT5550LT1/D (91.0kB)</v>
      </c>
      <c r="C633" t="s">
        <v>69</v>
      </c>
      <c r="D633" t="s">
        <v>70</v>
      </c>
      <c r="E633" t="s">
        <v>443</v>
      </c>
      <c r="F633" t="s">
        <v>444</v>
      </c>
      <c r="G633" t="s">
        <v>82</v>
      </c>
      <c r="H633" t="s">
        <v>73</v>
      </c>
      <c r="I633" t="s">
        <v>58</v>
      </c>
      <c r="K633" t="s">
        <v>207</v>
      </c>
      <c r="L633" t="s">
        <v>50</v>
      </c>
      <c r="M633" t="s">
        <v>208</v>
      </c>
      <c r="N633" t="s">
        <v>209</v>
      </c>
    </row>
    <row r="634" spans="1:14" ht="12.75">
      <c r="A634" t="str">
        <f>HYPERLINK("http://www.onsemi.com/PowerSolutions/product.do?id=MMBT5550LT1G","MMBT5550LT1G")</f>
        <v>MMBT5550LT1G</v>
      </c>
      <c r="B634" t="str">
        <f t="shared" si="23"/>
        <v>MMBT5550LT1/D (91.0kB)</v>
      </c>
      <c r="C634" t="s">
        <v>19</v>
      </c>
      <c r="D634" t="s">
        <v>70</v>
      </c>
      <c r="E634" t="s">
        <v>443</v>
      </c>
      <c r="F634" t="s">
        <v>444</v>
      </c>
      <c r="G634" t="s">
        <v>82</v>
      </c>
      <c r="H634" t="s">
        <v>73</v>
      </c>
      <c r="I634" t="s">
        <v>58</v>
      </c>
      <c r="K634" t="s">
        <v>207</v>
      </c>
      <c r="L634" t="s">
        <v>50</v>
      </c>
      <c r="M634" t="s">
        <v>208</v>
      </c>
      <c r="N634" t="s">
        <v>259</v>
      </c>
    </row>
    <row r="635" spans="1:14" ht="12.75">
      <c r="A635" t="str">
        <f>HYPERLINK("http://www.onsemi.com/PowerSolutions/product.do?id=MMBT5550LT3G","MMBT5550LT3G")</f>
        <v>MMBT5550LT3G</v>
      </c>
      <c r="B635" t="str">
        <f t="shared" si="23"/>
        <v>MMBT5550LT1/D (91.0kB)</v>
      </c>
      <c r="C635" t="s">
        <v>19</v>
      </c>
      <c r="D635" t="s">
        <v>70</v>
      </c>
      <c r="E635" t="s">
        <v>443</v>
      </c>
      <c r="F635" t="s">
        <v>444</v>
      </c>
      <c r="G635" t="s">
        <v>82</v>
      </c>
      <c r="H635" t="s">
        <v>73</v>
      </c>
      <c r="I635" t="s">
        <v>58</v>
      </c>
      <c r="K635" t="s">
        <v>207</v>
      </c>
      <c r="L635" t="s">
        <v>50</v>
      </c>
      <c r="M635" t="s">
        <v>208</v>
      </c>
      <c r="N635" t="s">
        <v>259</v>
      </c>
    </row>
    <row r="636" spans="1:14" ht="12.75">
      <c r="A636" t="str">
        <f>HYPERLINK("http://www.onsemi.com/PowerSolutions/product.do?id=MMBT5551LT1","MMBT5551LT1")</f>
        <v>MMBT5551LT1</v>
      </c>
      <c r="B636" t="str">
        <f t="shared" si="23"/>
        <v>MMBT5550LT1/D (91.0kB)</v>
      </c>
      <c r="C636" t="s">
        <v>69</v>
      </c>
      <c r="D636" t="s">
        <v>70</v>
      </c>
      <c r="E636" t="s">
        <v>443</v>
      </c>
      <c r="F636" t="s">
        <v>444</v>
      </c>
      <c r="G636" t="s">
        <v>138</v>
      </c>
      <c r="H636" t="s">
        <v>111</v>
      </c>
      <c r="I636" t="s">
        <v>58</v>
      </c>
      <c r="K636" t="s">
        <v>207</v>
      </c>
      <c r="L636" t="s">
        <v>50</v>
      </c>
      <c r="M636" t="s">
        <v>208</v>
      </c>
      <c r="N636" t="s">
        <v>209</v>
      </c>
    </row>
    <row r="637" spans="1:14" ht="12.75">
      <c r="A637" t="str">
        <f>HYPERLINK("http://www.onsemi.com/PowerSolutions/product.do?id=MMBT5551LT1G","MMBT5551LT1G")</f>
        <v>MMBT5551LT1G</v>
      </c>
      <c r="B637" t="str">
        <f t="shared" si="23"/>
        <v>MMBT5550LT1/D (91.0kB)</v>
      </c>
      <c r="C637" t="s">
        <v>19</v>
      </c>
      <c r="D637" t="s">
        <v>70</v>
      </c>
      <c r="E637" t="s">
        <v>443</v>
      </c>
      <c r="F637" t="s">
        <v>444</v>
      </c>
      <c r="G637" t="s">
        <v>138</v>
      </c>
      <c r="H637" t="s">
        <v>111</v>
      </c>
      <c r="I637" t="s">
        <v>58</v>
      </c>
      <c r="K637" t="s">
        <v>207</v>
      </c>
      <c r="L637" t="s">
        <v>50</v>
      </c>
      <c r="M637" t="s">
        <v>208</v>
      </c>
      <c r="N637" t="s">
        <v>209</v>
      </c>
    </row>
    <row r="638" spans="1:14" ht="12.75">
      <c r="A638" t="str">
        <f>HYPERLINK("http://www.onsemi.com/PowerSolutions/product.do?id=MMBT5551LT3G","MMBT5551LT3G")</f>
        <v>MMBT5551LT3G</v>
      </c>
      <c r="B638" t="str">
        <f t="shared" si="23"/>
        <v>MMBT5550LT1/D (91.0kB)</v>
      </c>
      <c r="C638" t="s">
        <v>19</v>
      </c>
      <c r="D638" t="s">
        <v>70</v>
      </c>
      <c r="E638" t="s">
        <v>443</v>
      </c>
      <c r="F638" t="s">
        <v>444</v>
      </c>
      <c r="G638" t="s">
        <v>138</v>
      </c>
      <c r="H638" t="s">
        <v>111</v>
      </c>
      <c r="I638" t="s">
        <v>58</v>
      </c>
      <c r="K638" t="s">
        <v>207</v>
      </c>
      <c r="L638" t="s">
        <v>50</v>
      </c>
      <c r="M638" t="s">
        <v>208</v>
      </c>
      <c r="N638" t="s">
        <v>209</v>
      </c>
    </row>
    <row r="639" spans="1:14" ht="12.75">
      <c r="A639" t="str">
        <f>HYPERLINK("http://www.onsemi.com/PowerSolutions/product.do?id=MMBT6428LT1G","MMBT6428LT1G")</f>
        <v>MMBT6428LT1G</v>
      </c>
      <c r="B639" t="str">
        <f>HYPERLINK("http://www.onsemi.com/pub/Collateral/MMBT6428LT1-D.PDF","MMBT6428LT1/D (121.0kB)")</f>
        <v>MMBT6428LT1/D (121.0kB)</v>
      </c>
      <c r="C639" t="s">
        <v>19</v>
      </c>
      <c r="D639" t="s">
        <v>70</v>
      </c>
      <c r="E639" t="s">
        <v>445</v>
      </c>
      <c r="F639" t="s">
        <v>47</v>
      </c>
      <c r="G639" t="s">
        <v>120</v>
      </c>
      <c r="H639" t="s">
        <v>58</v>
      </c>
      <c r="I639" t="s">
        <v>446</v>
      </c>
      <c r="J639" t="s">
        <v>23</v>
      </c>
      <c r="K639" t="s">
        <v>207</v>
      </c>
      <c r="L639" t="s">
        <v>50</v>
      </c>
      <c r="M639" t="s">
        <v>208</v>
      </c>
      <c r="N639" t="s">
        <v>447</v>
      </c>
    </row>
    <row r="640" spans="1:14" ht="12.75">
      <c r="A640" t="str">
        <f>HYPERLINK("http://www.onsemi.com/PowerSolutions/product.do?id=MMBT6429LT1","MMBT6429LT1")</f>
        <v>MMBT6429LT1</v>
      </c>
      <c r="B640" t="str">
        <f>HYPERLINK("http://www.onsemi.com/pub/Collateral/MMBT6428LT1-D.PDF","MMBT6428LT1/D (121.0kB)")</f>
        <v>MMBT6428LT1/D (121.0kB)</v>
      </c>
      <c r="C640" t="s">
        <v>69</v>
      </c>
      <c r="D640" t="s">
        <v>70</v>
      </c>
      <c r="E640" t="s">
        <v>448</v>
      </c>
      <c r="F640" t="s">
        <v>47</v>
      </c>
      <c r="G640" t="s">
        <v>64</v>
      </c>
      <c r="H640" t="s">
        <v>34</v>
      </c>
      <c r="I640" t="s">
        <v>341</v>
      </c>
      <c r="J640" t="s">
        <v>23</v>
      </c>
      <c r="K640" t="s">
        <v>207</v>
      </c>
      <c r="L640" t="s">
        <v>50</v>
      </c>
      <c r="M640" t="s">
        <v>208</v>
      </c>
      <c r="N640" t="s">
        <v>100</v>
      </c>
    </row>
    <row r="641" spans="1:14" ht="12.75">
      <c r="A641" t="str">
        <f>HYPERLINK("http://www.onsemi.com/PowerSolutions/product.do?id=MMBT6429LT1G","MMBT6429LT1G")</f>
        <v>MMBT6429LT1G</v>
      </c>
      <c r="B641" t="str">
        <f>HYPERLINK("http://www.onsemi.com/pub/Collateral/MMBT6428LT1-D.PDF","MMBT6428LT1/D (121.0kB)")</f>
        <v>MMBT6428LT1/D (121.0kB)</v>
      </c>
      <c r="C641" t="s">
        <v>19</v>
      </c>
      <c r="D641" t="s">
        <v>70</v>
      </c>
      <c r="E641" t="s">
        <v>448</v>
      </c>
      <c r="F641" t="s">
        <v>47</v>
      </c>
      <c r="G641" t="s">
        <v>64</v>
      </c>
      <c r="H641" t="s">
        <v>34</v>
      </c>
      <c r="I641" t="s">
        <v>341</v>
      </c>
      <c r="J641" t="s">
        <v>23</v>
      </c>
      <c r="K641" t="s">
        <v>207</v>
      </c>
      <c r="L641" t="s">
        <v>50</v>
      </c>
      <c r="M641" t="s">
        <v>208</v>
      </c>
      <c r="N641" t="s">
        <v>449</v>
      </c>
    </row>
    <row r="642" spans="1:14" ht="12.75">
      <c r="A642" t="str">
        <f>HYPERLINK("http://www.onsemi.com/PowerSolutions/product.do?id=MMBT6517LT1","MMBT6517LT1")</f>
        <v>MMBT6517LT1</v>
      </c>
      <c r="B642" t="str">
        <f>HYPERLINK("http://www.onsemi.com/pub/Collateral/MMBT6517LT1-D.PDF","MMBT6517LT1/D (91.0kB)")</f>
        <v>MMBT6517LT1/D (91.0kB)</v>
      </c>
      <c r="C642" t="s">
        <v>69</v>
      </c>
      <c r="D642" t="s">
        <v>70</v>
      </c>
      <c r="E642" t="s">
        <v>443</v>
      </c>
      <c r="F642" t="s">
        <v>135</v>
      </c>
      <c r="G642" t="s">
        <v>35</v>
      </c>
      <c r="H642" t="s">
        <v>86</v>
      </c>
      <c r="I642" t="s">
        <v>33</v>
      </c>
      <c r="J642" t="s">
        <v>41</v>
      </c>
      <c r="K642" t="s">
        <v>207</v>
      </c>
      <c r="L642" t="s">
        <v>50</v>
      </c>
      <c r="M642" t="s">
        <v>208</v>
      </c>
      <c r="N642" t="s">
        <v>100</v>
      </c>
    </row>
    <row r="643" spans="1:14" ht="12.75">
      <c r="A643" t="str">
        <f>HYPERLINK("http://www.onsemi.com/PowerSolutions/product.do?id=MMBT6517LT1G","MMBT6517LT1G")</f>
        <v>MMBT6517LT1G</v>
      </c>
      <c r="B643" t="str">
        <f>HYPERLINK("http://www.onsemi.com/pub/Collateral/MMBT6517LT1-D.PDF","MMBT6517LT1/D (91.0kB)")</f>
        <v>MMBT6517LT1/D (91.0kB)</v>
      </c>
      <c r="C643" t="s">
        <v>19</v>
      </c>
      <c r="D643" t="s">
        <v>70</v>
      </c>
      <c r="E643" t="s">
        <v>443</v>
      </c>
      <c r="F643" t="s">
        <v>135</v>
      </c>
      <c r="G643" t="s">
        <v>35</v>
      </c>
      <c r="H643" t="s">
        <v>86</v>
      </c>
      <c r="I643" t="s">
        <v>33</v>
      </c>
      <c r="J643" t="s">
        <v>41</v>
      </c>
      <c r="K643" t="s">
        <v>207</v>
      </c>
      <c r="L643" t="s">
        <v>50</v>
      </c>
      <c r="M643" t="s">
        <v>208</v>
      </c>
      <c r="N643" t="s">
        <v>450</v>
      </c>
    </row>
    <row r="644" spans="1:14" ht="12.75">
      <c r="A644" t="str">
        <f>HYPERLINK("http://www.onsemi.com/PowerSolutions/product.do?id=MMBT6517LT3G","MMBT6517LT3G")</f>
        <v>MMBT6517LT3G</v>
      </c>
      <c r="B644" t="str">
        <f>HYPERLINK("http://www.onsemi.com/pub/Collateral/MMBT6517LT1-D.PDF","MMBT6517LT1/D (91.0kB)")</f>
        <v>MMBT6517LT1/D (91.0kB)</v>
      </c>
      <c r="C644" t="s">
        <v>19</v>
      </c>
      <c r="D644" t="s">
        <v>70</v>
      </c>
      <c r="E644" t="s">
        <v>443</v>
      </c>
      <c r="F644" t="s">
        <v>135</v>
      </c>
      <c r="G644" t="s">
        <v>35</v>
      </c>
      <c r="H644" t="s">
        <v>86</v>
      </c>
      <c r="I644" t="s">
        <v>33</v>
      </c>
      <c r="J644" t="s">
        <v>41</v>
      </c>
      <c r="K644" t="s">
        <v>207</v>
      </c>
      <c r="L644" t="s">
        <v>50</v>
      </c>
      <c r="M644" t="s">
        <v>208</v>
      </c>
      <c r="N644" t="s">
        <v>100</v>
      </c>
    </row>
    <row r="645" spans="1:14" ht="12.75">
      <c r="A645" t="str">
        <f>HYPERLINK("http://www.onsemi.com/PowerSolutions/product.do?id=MMBT6520LT1","MMBT6520LT1")</f>
        <v>MMBT6520LT1</v>
      </c>
      <c r="B645" t="str">
        <f>HYPERLINK("http://www.onsemi.com/pub/Collateral/MMBT6520LT1-D.PDF","MMBT6520LT1/D (74.0kB)")</f>
        <v>MMBT6520LT1/D (74.0kB)</v>
      </c>
      <c r="C645" t="s">
        <v>69</v>
      </c>
      <c r="D645" t="s">
        <v>70</v>
      </c>
      <c r="E645" t="s">
        <v>441</v>
      </c>
      <c r="F645" t="s">
        <v>135</v>
      </c>
      <c r="G645" t="s">
        <v>35</v>
      </c>
      <c r="H645" t="s">
        <v>86</v>
      </c>
      <c r="I645" t="s">
        <v>33</v>
      </c>
      <c r="J645" t="s">
        <v>41</v>
      </c>
      <c r="K645" t="s">
        <v>207</v>
      </c>
      <c r="L645" t="s">
        <v>59</v>
      </c>
      <c r="M645" t="s">
        <v>208</v>
      </c>
      <c r="N645" t="s">
        <v>100</v>
      </c>
    </row>
    <row r="646" spans="1:14" ht="12.75">
      <c r="A646" t="str">
        <f>HYPERLINK("http://www.onsemi.com/PowerSolutions/product.do?id=MMBT6520LT1G","MMBT6520LT1G")</f>
        <v>MMBT6520LT1G</v>
      </c>
      <c r="B646" t="str">
        <f>HYPERLINK("http://www.onsemi.com/pub/Collateral/MMBT6520LT1-D.PDF","MMBT6520LT1/D (74.0kB)")</f>
        <v>MMBT6520LT1/D (74.0kB)</v>
      </c>
      <c r="C646" t="s">
        <v>19</v>
      </c>
      <c r="D646" t="s">
        <v>70</v>
      </c>
      <c r="E646" t="s">
        <v>441</v>
      </c>
      <c r="F646" t="s">
        <v>135</v>
      </c>
      <c r="G646" t="s">
        <v>35</v>
      </c>
      <c r="H646" t="s">
        <v>86</v>
      </c>
      <c r="I646" t="s">
        <v>33</v>
      </c>
      <c r="J646" t="s">
        <v>41</v>
      </c>
      <c r="K646" t="s">
        <v>207</v>
      </c>
      <c r="L646" t="s">
        <v>59</v>
      </c>
      <c r="M646" t="s">
        <v>208</v>
      </c>
      <c r="N646" t="s">
        <v>451</v>
      </c>
    </row>
    <row r="647" spans="1:14" ht="12.75">
      <c r="A647" t="str">
        <f>HYPERLINK("http://www.onsemi.com/PowerSolutions/product.do?id=MMBT6521LT1G","MMBT6521LT1G")</f>
        <v>MMBT6521LT1G</v>
      </c>
      <c r="B647" t="str">
        <f>HYPERLINK("http://www.onsemi.com/pub/Collateral/MMBT6521LT1-D.PDF","MMBT6521LT1/D (109.0kB)")</f>
        <v>MMBT6521LT1/D (109.0kB)</v>
      </c>
      <c r="C647" t="s">
        <v>19</v>
      </c>
      <c r="D647" t="s">
        <v>70</v>
      </c>
      <c r="E647" t="s">
        <v>452</v>
      </c>
      <c r="F647" t="s">
        <v>63</v>
      </c>
      <c r="G647" t="s">
        <v>102</v>
      </c>
      <c r="H647" t="s">
        <v>48</v>
      </c>
      <c r="I647" t="s">
        <v>211</v>
      </c>
      <c r="K647" t="s">
        <v>207</v>
      </c>
      <c r="L647" t="s">
        <v>50</v>
      </c>
      <c r="M647" t="s">
        <v>208</v>
      </c>
      <c r="N647" t="s">
        <v>259</v>
      </c>
    </row>
    <row r="648" spans="1:14" ht="12.75">
      <c r="A648" t="str">
        <f>HYPERLINK("http://www.onsemi.com/PowerSolutions/product.do?id=MMBT8099LT1G","MMBT8099LT1G")</f>
        <v>MMBT8099LT1G</v>
      </c>
      <c r="B648" t="str">
        <f>HYPERLINK("http://www.onsemi.com/pub/Collateral/MMBT8099LT1-D.PDF","MMBT8099LT1/D (69.0kB)")</f>
        <v>MMBT8099LT1/D (69.0kB)</v>
      </c>
      <c r="C648" t="s">
        <v>19</v>
      </c>
      <c r="D648" t="s">
        <v>70</v>
      </c>
      <c r="E648" t="s">
        <v>425</v>
      </c>
      <c r="F648" t="s">
        <v>135</v>
      </c>
      <c r="G648" t="s">
        <v>111</v>
      </c>
      <c r="H648" t="s">
        <v>23</v>
      </c>
      <c r="I648" t="s">
        <v>48</v>
      </c>
      <c r="J648" t="s">
        <v>88</v>
      </c>
      <c r="K648" t="s">
        <v>207</v>
      </c>
      <c r="L648" t="s">
        <v>50</v>
      </c>
      <c r="M648" t="s">
        <v>208</v>
      </c>
      <c r="N648" t="s">
        <v>259</v>
      </c>
    </row>
    <row r="649" spans="1:14" ht="12.75">
      <c r="A649" t="str">
        <f>HYPERLINK("http://www.onsemi.com/PowerSolutions/product.do?id=MMBTA05LT1G","MMBTA05LT1G")</f>
        <v>MMBTA05LT1G</v>
      </c>
      <c r="B649" t="str">
        <f aca="true" t="shared" si="24" ref="B649:B654">HYPERLINK("http://www.onsemi.com/pub/Collateral/MMBTA05LT1-D.PDF","MMBTA05LT1/D (62.0kB)")</f>
        <v>MMBTA05LT1/D (62.0kB)</v>
      </c>
      <c r="C649" t="s">
        <v>19</v>
      </c>
      <c r="D649" t="s">
        <v>70</v>
      </c>
      <c r="E649" t="s">
        <v>453</v>
      </c>
      <c r="F649" t="s">
        <v>135</v>
      </c>
      <c r="G649" t="s">
        <v>73</v>
      </c>
      <c r="H649" t="s">
        <v>23</v>
      </c>
      <c r="J649" t="s">
        <v>23</v>
      </c>
      <c r="K649" t="s">
        <v>207</v>
      </c>
      <c r="L649" t="s">
        <v>50</v>
      </c>
      <c r="M649" t="s">
        <v>208</v>
      </c>
      <c r="N649" t="s">
        <v>209</v>
      </c>
    </row>
    <row r="650" spans="1:14" ht="12.75">
      <c r="A650" t="str">
        <f>HYPERLINK("http://www.onsemi.com/PowerSolutions/product.do?id=MMBTA05LT3G","MMBTA05LT3G")</f>
        <v>MMBTA05LT3G</v>
      </c>
      <c r="B650" t="str">
        <f t="shared" si="24"/>
        <v>MMBTA05LT1/D (62.0kB)</v>
      </c>
      <c r="C650" t="s">
        <v>19</v>
      </c>
      <c r="D650" t="s">
        <v>70</v>
      </c>
      <c r="E650" t="s">
        <v>453</v>
      </c>
      <c r="F650" t="s">
        <v>135</v>
      </c>
      <c r="G650" t="s">
        <v>73</v>
      </c>
      <c r="H650" t="s">
        <v>23</v>
      </c>
      <c r="J650" t="s">
        <v>23</v>
      </c>
      <c r="K650" t="s">
        <v>207</v>
      </c>
      <c r="L650" t="s">
        <v>50</v>
      </c>
      <c r="M650" t="s">
        <v>208</v>
      </c>
      <c r="N650" t="s">
        <v>209</v>
      </c>
    </row>
    <row r="651" spans="1:14" ht="12.75">
      <c r="A651" t="str">
        <f>HYPERLINK("http://www.onsemi.com/PowerSolutions/product.do?id=MMBTA06LT1","MMBTA06LT1")</f>
        <v>MMBTA06LT1</v>
      </c>
      <c r="B651" t="str">
        <f t="shared" si="24"/>
        <v>MMBTA05LT1/D (62.0kB)</v>
      </c>
      <c r="C651" t="s">
        <v>69</v>
      </c>
      <c r="D651" t="s">
        <v>70</v>
      </c>
      <c r="E651" t="s">
        <v>453</v>
      </c>
      <c r="F651" t="s">
        <v>135</v>
      </c>
      <c r="G651" t="s">
        <v>111</v>
      </c>
      <c r="H651" t="s">
        <v>23</v>
      </c>
      <c r="J651" t="s">
        <v>23</v>
      </c>
      <c r="K651" t="s">
        <v>207</v>
      </c>
      <c r="L651" t="s">
        <v>50</v>
      </c>
      <c r="M651" t="s">
        <v>208</v>
      </c>
      <c r="N651" t="s">
        <v>209</v>
      </c>
    </row>
    <row r="652" spans="1:14" ht="12.75">
      <c r="A652" t="str">
        <f>HYPERLINK("http://www.onsemi.com/PowerSolutions/product.do?id=MMBTA06LT1G","MMBTA06LT1G")</f>
        <v>MMBTA06LT1G</v>
      </c>
      <c r="B652" t="str">
        <f t="shared" si="24"/>
        <v>MMBTA05LT1/D (62.0kB)</v>
      </c>
      <c r="C652" t="s">
        <v>19</v>
      </c>
      <c r="D652" t="s">
        <v>70</v>
      </c>
      <c r="E652" t="s">
        <v>453</v>
      </c>
      <c r="F652" t="s">
        <v>135</v>
      </c>
      <c r="G652" t="s">
        <v>111</v>
      </c>
      <c r="H652" t="s">
        <v>23</v>
      </c>
      <c r="J652" t="s">
        <v>23</v>
      </c>
      <c r="K652" t="s">
        <v>207</v>
      </c>
      <c r="L652" t="s">
        <v>50</v>
      </c>
      <c r="M652" t="s">
        <v>208</v>
      </c>
      <c r="N652" t="s">
        <v>209</v>
      </c>
    </row>
    <row r="653" spans="1:14" ht="12.75">
      <c r="A653" t="str">
        <f>HYPERLINK("http://www.onsemi.com/PowerSolutions/product.do?id=MMBTA06LT3","MMBTA06LT3")</f>
        <v>MMBTA06LT3</v>
      </c>
      <c r="B653" t="str">
        <f t="shared" si="24"/>
        <v>MMBTA05LT1/D (62.0kB)</v>
      </c>
      <c r="C653" t="s">
        <v>69</v>
      </c>
      <c r="D653" t="s">
        <v>70</v>
      </c>
      <c r="E653" t="s">
        <v>453</v>
      </c>
      <c r="F653" t="s">
        <v>135</v>
      </c>
      <c r="G653" t="s">
        <v>111</v>
      </c>
      <c r="H653" t="s">
        <v>23</v>
      </c>
      <c r="J653" t="s">
        <v>23</v>
      </c>
      <c r="K653" t="s">
        <v>207</v>
      </c>
      <c r="L653" t="s">
        <v>50</v>
      </c>
      <c r="M653" t="s">
        <v>208</v>
      </c>
      <c r="N653" t="s">
        <v>209</v>
      </c>
    </row>
    <row r="654" spans="1:14" ht="12.75">
      <c r="A654" t="str">
        <f>HYPERLINK("http://www.onsemi.com/PowerSolutions/product.do?id=MMBTA06LT3G","MMBTA06LT3G")</f>
        <v>MMBTA06LT3G</v>
      </c>
      <c r="B654" t="str">
        <f t="shared" si="24"/>
        <v>MMBTA05LT1/D (62.0kB)</v>
      </c>
      <c r="C654" t="s">
        <v>19</v>
      </c>
      <c r="D654" t="s">
        <v>70</v>
      </c>
      <c r="E654" t="s">
        <v>453</v>
      </c>
      <c r="F654" t="s">
        <v>135</v>
      </c>
      <c r="G654" t="s">
        <v>111</v>
      </c>
      <c r="H654" t="s">
        <v>23</v>
      </c>
      <c r="J654" t="s">
        <v>23</v>
      </c>
      <c r="K654" t="s">
        <v>207</v>
      </c>
      <c r="L654" t="s">
        <v>50</v>
      </c>
      <c r="M654" t="s">
        <v>208</v>
      </c>
      <c r="N654" t="s">
        <v>209</v>
      </c>
    </row>
    <row r="655" spans="1:14" ht="12.75">
      <c r="A655" t="str">
        <f>HYPERLINK("http://www.onsemi.com/PowerSolutions/product.do?id=MMBTA06WT1G","MMBTA06WT1G")</f>
        <v>MMBTA06WT1G</v>
      </c>
      <c r="B655" t="str">
        <f>HYPERLINK("http://www.onsemi.com/pub/Collateral/MMBTA06WT1-D.PDF","MMBTA06WT1/D (57.0kB)")</f>
        <v>MMBTA06WT1/D (57.0kB)</v>
      </c>
      <c r="C655" t="s">
        <v>19</v>
      </c>
      <c r="D655" t="s">
        <v>70</v>
      </c>
      <c r="E655" t="s">
        <v>453</v>
      </c>
      <c r="F655" t="s">
        <v>135</v>
      </c>
      <c r="G655" t="s">
        <v>111</v>
      </c>
      <c r="H655" t="s">
        <v>23</v>
      </c>
      <c r="J655" t="s">
        <v>23</v>
      </c>
      <c r="K655" t="s">
        <v>180</v>
      </c>
      <c r="L655" t="s">
        <v>50</v>
      </c>
      <c r="M655" t="s">
        <v>226</v>
      </c>
      <c r="N655" t="s">
        <v>237</v>
      </c>
    </row>
    <row r="656" spans="1:14" ht="12.75">
      <c r="A656" t="str">
        <f>HYPERLINK("http://www.onsemi.com/PowerSolutions/product.do?id=MMBTA42LT1","MMBTA42LT1")</f>
        <v>MMBTA42LT1</v>
      </c>
      <c r="B656" t="str">
        <f>HYPERLINK("http://www.onsemi.com/pub/Collateral/MMBTA42LT1-D.PDF","MMBTA42LT1/D (75.0kB)")</f>
        <v>MMBTA42LT1/D (75.0kB)</v>
      </c>
      <c r="C656" t="s">
        <v>69</v>
      </c>
      <c r="D656" t="s">
        <v>70</v>
      </c>
      <c r="E656" t="s">
        <v>454</v>
      </c>
      <c r="F656" t="s">
        <v>119</v>
      </c>
      <c r="G656" t="s">
        <v>48</v>
      </c>
      <c r="H656" t="s">
        <v>41</v>
      </c>
      <c r="J656" t="s">
        <v>120</v>
      </c>
      <c r="K656" t="s">
        <v>207</v>
      </c>
      <c r="L656" t="s">
        <v>50</v>
      </c>
      <c r="M656" t="s">
        <v>208</v>
      </c>
      <c r="N656" t="s">
        <v>100</v>
      </c>
    </row>
    <row r="657" spans="1:14" ht="12.75">
      <c r="A657" t="str">
        <f>HYPERLINK("http://www.onsemi.com/PowerSolutions/product.do?id=MMBTA42LT1G","MMBTA42LT1G")</f>
        <v>MMBTA42LT1G</v>
      </c>
      <c r="B657" t="str">
        <f>HYPERLINK("http://www.onsemi.com/pub/Collateral/MMBTA42LT1-D.PDF","MMBTA42LT1/D (75.0kB)")</f>
        <v>MMBTA42LT1/D (75.0kB)</v>
      </c>
      <c r="C657" t="s">
        <v>19</v>
      </c>
      <c r="D657" t="s">
        <v>70</v>
      </c>
      <c r="E657" t="s">
        <v>454</v>
      </c>
      <c r="F657" t="s">
        <v>119</v>
      </c>
      <c r="G657" t="s">
        <v>48</v>
      </c>
      <c r="H657" t="s">
        <v>41</v>
      </c>
      <c r="J657" t="s">
        <v>120</v>
      </c>
      <c r="K657" t="s">
        <v>207</v>
      </c>
      <c r="L657" t="s">
        <v>50</v>
      </c>
      <c r="M657" t="s">
        <v>208</v>
      </c>
      <c r="N657" t="s">
        <v>455</v>
      </c>
    </row>
    <row r="658" spans="1:14" ht="12.75">
      <c r="A658" t="str">
        <f>HYPERLINK("http://www.onsemi.com/PowerSolutions/product.do?id=MMBTA42LT3G","MMBTA42LT3G")</f>
        <v>MMBTA42LT3G</v>
      </c>
      <c r="B658" t="str">
        <f>HYPERLINK("http://www.onsemi.com/pub/Collateral/MMBTA42LT1-D.PDF","MMBTA42LT1/D (75.0kB)")</f>
        <v>MMBTA42LT1/D (75.0kB)</v>
      </c>
      <c r="C658" t="s">
        <v>19</v>
      </c>
      <c r="D658" t="s">
        <v>70</v>
      </c>
      <c r="E658" t="s">
        <v>454</v>
      </c>
      <c r="F658" t="s">
        <v>119</v>
      </c>
      <c r="G658" t="s">
        <v>48</v>
      </c>
      <c r="H658" t="s">
        <v>41</v>
      </c>
      <c r="J658" t="s">
        <v>120</v>
      </c>
      <c r="K658" t="s">
        <v>207</v>
      </c>
      <c r="L658" t="s">
        <v>50</v>
      </c>
      <c r="M658" t="s">
        <v>208</v>
      </c>
      <c r="N658" t="s">
        <v>100</v>
      </c>
    </row>
    <row r="659" spans="1:14" ht="12.75">
      <c r="A659" t="str">
        <f>HYPERLINK("http://www.onsemi.com/PowerSolutions/product.do?id=MMBTA55LT1G","MMBTA55LT1G")</f>
        <v>MMBTA55LT1G</v>
      </c>
      <c r="B659" t="str">
        <f>HYPERLINK("http://www.onsemi.com/pub/Collateral/MMBTA55LT1-D.PDF","MMBTA55LT1/D (64.0kB)")</f>
        <v>MMBTA55LT1/D (64.0kB)</v>
      </c>
      <c r="C659" t="s">
        <v>19</v>
      </c>
      <c r="D659" t="s">
        <v>70</v>
      </c>
      <c r="E659" t="s">
        <v>456</v>
      </c>
      <c r="F659" t="s">
        <v>135</v>
      </c>
      <c r="G659" t="s">
        <v>73</v>
      </c>
      <c r="H659" t="s">
        <v>23</v>
      </c>
      <c r="J659" t="s">
        <v>120</v>
      </c>
      <c r="K659" t="s">
        <v>207</v>
      </c>
      <c r="L659" t="s">
        <v>59</v>
      </c>
      <c r="M659" t="s">
        <v>208</v>
      </c>
      <c r="N659" t="s">
        <v>259</v>
      </c>
    </row>
    <row r="660" spans="1:14" ht="12.75">
      <c r="A660" t="str">
        <f>HYPERLINK("http://www.onsemi.com/PowerSolutions/product.do?id=MMBTA56LT1","MMBTA56LT1")</f>
        <v>MMBTA56LT1</v>
      </c>
      <c r="B660" t="str">
        <f>HYPERLINK("http://www.onsemi.com/pub/Collateral/MMBTA55LT1-D.PDF","MMBTA55LT1/D (64.0kB)")</f>
        <v>MMBTA55LT1/D (64.0kB)</v>
      </c>
      <c r="C660" t="s">
        <v>69</v>
      </c>
      <c r="D660" t="s">
        <v>70</v>
      </c>
      <c r="E660" t="s">
        <v>456</v>
      </c>
      <c r="F660" t="s">
        <v>135</v>
      </c>
      <c r="G660" t="s">
        <v>111</v>
      </c>
      <c r="H660" t="s">
        <v>23</v>
      </c>
      <c r="J660" t="s">
        <v>120</v>
      </c>
      <c r="K660" t="s">
        <v>207</v>
      </c>
      <c r="L660" t="s">
        <v>59</v>
      </c>
      <c r="M660" t="s">
        <v>208</v>
      </c>
      <c r="N660" t="s">
        <v>209</v>
      </c>
    </row>
    <row r="661" spans="1:14" ht="12.75">
      <c r="A661" t="str">
        <f>HYPERLINK("http://www.onsemi.com/PowerSolutions/product.do?id=MMBTA56LT1G","MMBTA56LT1G")</f>
        <v>MMBTA56LT1G</v>
      </c>
      <c r="B661" t="str">
        <f>HYPERLINK("http://www.onsemi.com/pub/Collateral/MMBTA55LT1-D.PDF","MMBTA55LT1/D (64.0kB)")</f>
        <v>MMBTA55LT1/D (64.0kB)</v>
      </c>
      <c r="C661" t="s">
        <v>19</v>
      </c>
      <c r="D661" t="s">
        <v>70</v>
      </c>
      <c r="E661" t="s">
        <v>456</v>
      </c>
      <c r="F661" t="s">
        <v>135</v>
      </c>
      <c r="G661" t="s">
        <v>111</v>
      </c>
      <c r="H661" t="s">
        <v>23</v>
      </c>
      <c r="J661" t="s">
        <v>120</v>
      </c>
      <c r="K661" t="s">
        <v>207</v>
      </c>
      <c r="L661" t="s">
        <v>59</v>
      </c>
      <c r="M661" t="s">
        <v>208</v>
      </c>
      <c r="N661" t="s">
        <v>209</v>
      </c>
    </row>
    <row r="662" spans="1:14" ht="12.75">
      <c r="A662" t="str">
        <f>HYPERLINK("http://www.onsemi.com/PowerSolutions/product.do?id=MMBTA56LT3","MMBTA56LT3")</f>
        <v>MMBTA56LT3</v>
      </c>
      <c r="B662" t="str">
        <f>HYPERLINK("http://www.onsemi.com/pub/Collateral/MMBTA55LT1-D.PDF","MMBTA55LT1/D (64.0kB)")</f>
        <v>MMBTA55LT1/D (64.0kB)</v>
      </c>
      <c r="C662" t="s">
        <v>69</v>
      </c>
      <c r="D662" t="s">
        <v>70</v>
      </c>
      <c r="E662" t="s">
        <v>456</v>
      </c>
      <c r="F662" t="s">
        <v>135</v>
      </c>
      <c r="G662" t="s">
        <v>111</v>
      </c>
      <c r="H662" t="s">
        <v>23</v>
      </c>
      <c r="J662" t="s">
        <v>120</v>
      </c>
      <c r="K662" t="s">
        <v>207</v>
      </c>
      <c r="L662" t="s">
        <v>59</v>
      </c>
      <c r="M662" t="s">
        <v>208</v>
      </c>
      <c r="N662" t="s">
        <v>209</v>
      </c>
    </row>
    <row r="663" spans="1:14" ht="12.75">
      <c r="A663" t="str">
        <f>HYPERLINK("http://www.onsemi.com/PowerSolutions/product.do?id=MMBTA56LT3G","MMBTA56LT3G")</f>
        <v>MMBTA56LT3G</v>
      </c>
      <c r="B663" t="str">
        <f>HYPERLINK("http://www.onsemi.com/pub/Collateral/MMBTA55LT1-D.PDF","MMBTA55LT1/D (64.0kB)")</f>
        <v>MMBTA55LT1/D (64.0kB)</v>
      </c>
      <c r="C663" t="s">
        <v>19</v>
      </c>
      <c r="D663" t="s">
        <v>70</v>
      </c>
      <c r="E663" t="s">
        <v>456</v>
      </c>
      <c r="F663" t="s">
        <v>135</v>
      </c>
      <c r="G663" t="s">
        <v>111</v>
      </c>
      <c r="H663" t="s">
        <v>23</v>
      </c>
      <c r="J663" t="s">
        <v>120</v>
      </c>
      <c r="K663" t="s">
        <v>207</v>
      </c>
      <c r="L663" t="s">
        <v>59</v>
      </c>
      <c r="M663" t="s">
        <v>208</v>
      </c>
      <c r="N663" t="s">
        <v>209</v>
      </c>
    </row>
    <row r="664" spans="1:14" ht="12.75">
      <c r="A664" t="str">
        <f>HYPERLINK("http://www.onsemi.com/PowerSolutions/product.do?id=MMBTA56WT1G","MMBTA56WT1G")</f>
        <v>MMBTA56WT1G</v>
      </c>
      <c r="B664" t="str">
        <f>HYPERLINK("http://www.onsemi.com/pub/Collateral/MMBTA56WT1-D.PDF","MMBTA56WT1/D (67.0kB)")</f>
        <v>MMBTA56WT1/D (67.0kB)</v>
      </c>
      <c r="C664" t="s">
        <v>19</v>
      </c>
      <c r="D664" t="s">
        <v>70</v>
      </c>
      <c r="E664" t="s">
        <v>456</v>
      </c>
      <c r="F664" t="s">
        <v>135</v>
      </c>
      <c r="G664" t="s">
        <v>111</v>
      </c>
      <c r="H664" t="s">
        <v>23</v>
      </c>
      <c r="J664" t="s">
        <v>120</v>
      </c>
      <c r="K664" t="s">
        <v>180</v>
      </c>
      <c r="L664" t="s">
        <v>59</v>
      </c>
      <c r="M664" t="s">
        <v>226</v>
      </c>
      <c r="N664" t="s">
        <v>237</v>
      </c>
    </row>
    <row r="665" spans="1:14" ht="12.75">
      <c r="A665" t="str">
        <f>HYPERLINK("http://www.onsemi.com/PowerSolutions/product.do?id=MMBTA70LT1G","MMBTA70LT1G")</f>
        <v>MMBTA70LT1G</v>
      </c>
      <c r="B665" t="str">
        <f>HYPERLINK("http://www.onsemi.com/pub/Collateral/MMBTA70LT1-D.PDF","MMBTA70LT1/D (104.0kB)")</f>
        <v>MMBTA70LT1/D (104.0kB)</v>
      </c>
      <c r="C665" t="s">
        <v>19</v>
      </c>
      <c r="D665" t="s">
        <v>70</v>
      </c>
      <c r="E665" t="s">
        <v>427</v>
      </c>
      <c r="F665" t="s">
        <v>63</v>
      </c>
      <c r="G665" t="s">
        <v>41</v>
      </c>
      <c r="H665" t="s">
        <v>41</v>
      </c>
      <c r="I665" t="s">
        <v>125</v>
      </c>
      <c r="J665" t="s">
        <v>239</v>
      </c>
      <c r="K665" t="s">
        <v>207</v>
      </c>
      <c r="L665" t="s">
        <v>59</v>
      </c>
      <c r="M665" t="s">
        <v>208</v>
      </c>
      <c r="N665" t="s">
        <v>291</v>
      </c>
    </row>
    <row r="666" spans="1:14" ht="12.75">
      <c r="A666" t="str">
        <f>HYPERLINK("http://www.onsemi.com/PowerSolutions/product.do?id=MMBTA92LT1","MMBTA92LT1")</f>
        <v>MMBTA92LT1</v>
      </c>
      <c r="B666" t="str">
        <f>HYPERLINK("http://www.onsemi.com/pub/Collateral/MMBTA92LT1-D.PDF","MMBTA92LT1/D (78.0kB)")</f>
        <v>MMBTA92LT1/D (78.0kB)</v>
      </c>
      <c r="C666" t="s">
        <v>69</v>
      </c>
      <c r="D666" t="s">
        <v>70</v>
      </c>
      <c r="E666" t="s">
        <v>441</v>
      </c>
      <c r="F666" t="s">
        <v>119</v>
      </c>
      <c r="G666" t="s">
        <v>48</v>
      </c>
      <c r="H666" t="s">
        <v>102</v>
      </c>
      <c r="J666" t="s">
        <v>120</v>
      </c>
      <c r="K666" t="s">
        <v>207</v>
      </c>
      <c r="L666" t="s">
        <v>59</v>
      </c>
      <c r="M666" t="s">
        <v>208</v>
      </c>
      <c r="N666" t="s">
        <v>291</v>
      </c>
    </row>
    <row r="667" spans="1:14" ht="12.75">
      <c r="A667" t="str">
        <f>HYPERLINK("http://www.onsemi.com/PowerSolutions/product.do?id=MMBTA92LT1G","MMBTA92LT1G")</f>
        <v>MMBTA92LT1G</v>
      </c>
      <c r="B667" t="str">
        <f>HYPERLINK("http://www.onsemi.com/pub/Collateral/MMBTA92LT1-D.PDF","MMBTA92LT1/D (78.0kB)")</f>
        <v>MMBTA92LT1/D (78.0kB)</v>
      </c>
      <c r="C667" t="s">
        <v>19</v>
      </c>
      <c r="D667" t="s">
        <v>70</v>
      </c>
      <c r="E667" t="s">
        <v>441</v>
      </c>
      <c r="F667" t="s">
        <v>119</v>
      </c>
      <c r="G667" t="s">
        <v>48</v>
      </c>
      <c r="H667" t="s">
        <v>102</v>
      </c>
      <c r="J667" t="s">
        <v>120</v>
      </c>
      <c r="K667" t="s">
        <v>207</v>
      </c>
      <c r="L667" t="s">
        <v>59</v>
      </c>
      <c r="M667" t="s">
        <v>208</v>
      </c>
      <c r="N667" t="s">
        <v>291</v>
      </c>
    </row>
    <row r="668" spans="1:14" ht="12.75">
      <c r="A668" t="str">
        <f>HYPERLINK("http://www.onsemi.com/PowerSolutions/product.do?id=MMBTA92LT3G","MMBTA92LT3G")</f>
        <v>MMBTA92LT3G</v>
      </c>
      <c r="B668" t="str">
        <f>HYPERLINK("http://www.onsemi.com/pub/Collateral/MMBTA92LT1-D.PDF","MMBTA92LT1/D (78.0kB)")</f>
        <v>MMBTA92LT1/D (78.0kB)</v>
      </c>
      <c r="C668" t="s">
        <v>19</v>
      </c>
      <c r="D668" t="s">
        <v>70</v>
      </c>
      <c r="E668" t="s">
        <v>441</v>
      </c>
      <c r="F668" t="s">
        <v>119</v>
      </c>
      <c r="G668" t="s">
        <v>48</v>
      </c>
      <c r="H668" t="s">
        <v>102</v>
      </c>
      <c r="J668" t="s">
        <v>120</v>
      </c>
      <c r="K668" t="s">
        <v>207</v>
      </c>
      <c r="L668" t="s">
        <v>59</v>
      </c>
      <c r="M668" t="s">
        <v>208</v>
      </c>
      <c r="N668" t="s">
        <v>291</v>
      </c>
    </row>
    <row r="669" spans="1:14" ht="12.75">
      <c r="A669" t="str">
        <f>HYPERLINK("http://www.onsemi.com/PowerSolutions/product.do?id=MMJT350T1G","MMJT350T1G")</f>
        <v>MMJT350T1G</v>
      </c>
      <c r="B669" t="str">
        <f>HYPERLINK("http://www.onsemi.com/pub/Collateral/MMJT350T1-D.PDF","MMJT350T1/D (85.0kB)")</f>
        <v>MMJT350T1/D (85.0kB)</v>
      </c>
      <c r="C669" t="s">
        <v>19</v>
      </c>
      <c r="D669" t="s">
        <v>70</v>
      </c>
      <c r="E669" t="s">
        <v>365</v>
      </c>
      <c r="F669" t="s">
        <v>135</v>
      </c>
      <c r="G669" t="s">
        <v>48</v>
      </c>
      <c r="H669" t="s">
        <v>86</v>
      </c>
      <c r="I669" t="s">
        <v>136</v>
      </c>
      <c r="K669" t="s">
        <v>457</v>
      </c>
      <c r="L669" t="s">
        <v>59</v>
      </c>
      <c r="M669" t="s">
        <v>28</v>
      </c>
      <c r="N669" t="s">
        <v>458</v>
      </c>
    </row>
    <row r="670" spans="1:14" ht="12.75">
      <c r="A670" t="str">
        <f>HYPERLINK("http://www.onsemi.com/PowerSolutions/product.do?id=MPS2222AG","MPS2222AG")</f>
        <v>MPS2222AG</v>
      </c>
      <c r="B670" t="str">
        <f aca="true" t="shared" si="25" ref="B670:B677">HYPERLINK("http://www.onsemi.com/pub/Collateral/MPS2222-D.PDF","MPS2222/D (90.0kB)")</f>
        <v>MPS2222/D (90.0kB)</v>
      </c>
      <c r="C670" t="s">
        <v>19</v>
      </c>
      <c r="D670" t="s">
        <v>70</v>
      </c>
      <c r="E670" t="s">
        <v>459</v>
      </c>
      <c r="F670" t="s">
        <v>104</v>
      </c>
      <c r="G670" t="s">
        <v>41</v>
      </c>
      <c r="H670" t="s">
        <v>23</v>
      </c>
      <c r="I670" t="s">
        <v>48</v>
      </c>
      <c r="J670" t="s">
        <v>48</v>
      </c>
      <c r="K670" t="s">
        <v>96</v>
      </c>
      <c r="L670" t="s">
        <v>50</v>
      </c>
      <c r="M670" t="s">
        <v>97</v>
      </c>
      <c r="N670" t="s">
        <v>222</v>
      </c>
    </row>
    <row r="671" spans="1:14" ht="12.75">
      <c r="A671" t="str">
        <f>HYPERLINK("http://www.onsemi.com/PowerSolutions/product.do?id=MPS2222ARLG","MPS2222ARLG")</f>
        <v>MPS2222ARLG</v>
      </c>
      <c r="B671" t="str">
        <f t="shared" si="25"/>
        <v>MPS2222/D (90.0kB)</v>
      </c>
      <c r="C671" t="s">
        <v>19</v>
      </c>
      <c r="D671" t="s">
        <v>70</v>
      </c>
      <c r="E671" t="s">
        <v>459</v>
      </c>
      <c r="F671" t="s">
        <v>104</v>
      </c>
      <c r="G671" t="s">
        <v>41</v>
      </c>
      <c r="H671" t="s">
        <v>23</v>
      </c>
      <c r="I671" t="s">
        <v>48</v>
      </c>
      <c r="J671" t="s">
        <v>48</v>
      </c>
      <c r="K671" t="s">
        <v>96</v>
      </c>
      <c r="L671" t="s">
        <v>50</v>
      </c>
      <c r="M671" t="s">
        <v>97</v>
      </c>
      <c r="N671" t="s">
        <v>222</v>
      </c>
    </row>
    <row r="672" spans="1:14" ht="12.75">
      <c r="A672" t="str">
        <f>HYPERLINK("http://www.onsemi.com/PowerSolutions/product.do?id=MPS2222ARLRAG","MPS2222ARLRAG")</f>
        <v>MPS2222ARLRAG</v>
      </c>
      <c r="B672" t="str">
        <f t="shared" si="25"/>
        <v>MPS2222/D (90.0kB)</v>
      </c>
      <c r="C672" t="s">
        <v>19</v>
      </c>
      <c r="D672" t="s">
        <v>70</v>
      </c>
      <c r="E672" t="s">
        <v>459</v>
      </c>
      <c r="F672" t="s">
        <v>104</v>
      </c>
      <c r="G672" t="s">
        <v>41</v>
      </c>
      <c r="H672" t="s">
        <v>23</v>
      </c>
      <c r="I672" t="s">
        <v>48</v>
      </c>
      <c r="J672" t="s">
        <v>48</v>
      </c>
      <c r="K672" t="s">
        <v>96</v>
      </c>
      <c r="L672" t="s">
        <v>50</v>
      </c>
      <c r="M672" t="s">
        <v>97</v>
      </c>
      <c r="N672" t="s">
        <v>222</v>
      </c>
    </row>
    <row r="673" spans="1:14" ht="12.75">
      <c r="A673" t="str">
        <f>HYPERLINK("http://www.onsemi.com/PowerSolutions/product.do?id=MPS2222ARLRMG","MPS2222ARLRMG")</f>
        <v>MPS2222ARLRMG</v>
      </c>
      <c r="B673" t="str">
        <f t="shared" si="25"/>
        <v>MPS2222/D (90.0kB)</v>
      </c>
      <c r="C673" t="s">
        <v>19</v>
      </c>
      <c r="D673" t="s">
        <v>70</v>
      </c>
      <c r="E673" t="s">
        <v>459</v>
      </c>
      <c r="F673" t="s">
        <v>104</v>
      </c>
      <c r="G673" t="s">
        <v>41</v>
      </c>
      <c r="H673" t="s">
        <v>23</v>
      </c>
      <c r="I673" t="s">
        <v>48</v>
      </c>
      <c r="J673" t="s">
        <v>48</v>
      </c>
      <c r="K673" t="s">
        <v>96</v>
      </c>
      <c r="L673" t="s">
        <v>50</v>
      </c>
      <c r="M673" t="s">
        <v>97</v>
      </c>
      <c r="N673" t="s">
        <v>222</v>
      </c>
    </row>
    <row r="674" spans="1:14" ht="12.75">
      <c r="A674" t="str">
        <f>HYPERLINK("http://www.onsemi.com/PowerSolutions/product.do?id=MPS2222ARLRPG","MPS2222ARLRPG")</f>
        <v>MPS2222ARLRPG</v>
      </c>
      <c r="B674" t="str">
        <f t="shared" si="25"/>
        <v>MPS2222/D (90.0kB)</v>
      </c>
      <c r="C674" t="s">
        <v>19</v>
      </c>
      <c r="D674" t="s">
        <v>70</v>
      </c>
      <c r="E674" t="s">
        <v>459</v>
      </c>
      <c r="F674" t="s">
        <v>104</v>
      </c>
      <c r="G674" t="s">
        <v>41</v>
      </c>
      <c r="H674" t="s">
        <v>23</v>
      </c>
      <c r="I674" t="s">
        <v>48</v>
      </c>
      <c r="J674" t="s">
        <v>48</v>
      </c>
      <c r="K674" t="s">
        <v>96</v>
      </c>
      <c r="L674" t="s">
        <v>50</v>
      </c>
      <c r="M674" t="s">
        <v>97</v>
      </c>
      <c r="N674" t="s">
        <v>222</v>
      </c>
    </row>
    <row r="675" spans="1:14" ht="12.75">
      <c r="A675" t="str">
        <f>HYPERLINK("http://www.onsemi.com/PowerSolutions/product.do?id=MPS2222G","MPS2222G")</f>
        <v>MPS2222G</v>
      </c>
      <c r="B675" t="str">
        <f t="shared" si="25"/>
        <v>MPS2222/D (90.0kB)</v>
      </c>
      <c r="C675" t="s">
        <v>19</v>
      </c>
      <c r="D675" t="s">
        <v>70</v>
      </c>
      <c r="E675" t="s">
        <v>459</v>
      </c>
      <c r="F675" t="s">
        <v>104</v>
      </c>
      <c r="G675" t="s">
        <v>86</v>
      </c>
      <c r="H675" t="s">
        <v>23</v>
      </c>
      <c r="I675" t="s">
        <v>48</v>
      </c>
      <c r="J675" t="s">
        <v>58</v>
      </c>
      <c r="K675" t="s">
        <v>96</v>
      </c>
      <c r="L675" t="s">
        <v>50</v>
      </c>
      <c r="M675" t="s">
        <v>97</v>
      </c>
      <c r="N675" t="s">
        <v>103</v>
      </c>
    </row>
    <row r="676" spans="1:14" ht="12.75">
      <c r="A676" t="str">
        <f>HYPERLINK("http://www.onsemi.com/PowerSolutions/product.do?id=MPS2222RLRP","MPS2222RLRP")</f>
        <v>MPS2222RLRP</v>
      </c>
      <c r="B676" t="str">
        <f t="shared" si="25"/>
        <v>MPS2222/D (90.0kB)</v>
      </c>
      <c r="C676" t="s">
        <v>69</v>
      </c>
      <c r="D676" t="s">
        <v>70</v>
      </c>
      <c r="E676" t="s">
        <v>459</v>
      </c>
      <c r="F676" t="s">
        <v>104</v>
      </c>
      <c r="G676" t="s">
        <v>86</v>
      </c>
      <c r="H676" t="s">
        <v>23</v>
      </c>
      <c r="I676" t="s">
        <v>48</v>
      </c>
      <c r="J676" t="s">
        <v>58</v>
      </c>
      <c r="K676" t="s">
        <v>96</v>
      </c>
      <c r="L676" t="s">
        <v>50</v>
      </c>
      <c r="M676" t="s">
        <v>97</v>
      </c>
      <c r="N676" t="s">
        <v>103</v>
      </c>
    </row>
    <row r="677" spans="1:14" ht="12.75">
      <c r="A677" t="str">
        <f>HYPERLINK("http://www.onsemi.com/PowerSolutions/product.do?id=MPS2222RLRPG","MPS2222RLRPG")</f>
        <v>MPS2222RLRPG</v>
      </c>
      <c r="B677" t="str">
        <f t="shared" si="25"/>
        <v>MPS2222/D (90.0kB)</v>
      </c>
      <c r="C677" t="s">
        <v>19</v>
      </c>
      <c r="D677" t="s">
        <v>70</v>
      </c>
      <c r="E677" t="s">
        <v>459</v>
      </c>
      <c r="F677" t="s">
        <v>104</v>
      </c>
      <c r="G677" t="s">
        <v>86</v>
      </c>
      <c r="H677" t="s">
        <v>23</v>
      </c>
      <c r="I677" t="s">
        <v>48</v>
      </c>
      <c r="J677" t="s">
        <v>58</v>
      </c>
      <c r="K677" t="s">
        <v>96</v>
      </c>
      <c r="L677" t="s">
        <v>50</v>
      </c>
      <c r="M677" t="s">
        <v>97</v>
      </c>
      <c r="N677" t="s">
        <v>103</v>
      </c>
    </row>
    <row r="678" spans="1:14" ht="12.75">
      <c r="A678" t="str">
        <f>HYPERLINK("http://www.onsemi.com/PowerSolutions/product.do?id=MPS2907AG","MPS2907AG")</f>
        <v>MPS2907AG</v>
      </c>
      <c r="B678" t="str">
        <f>HYPERLINK("http://www.onsemi.com/pub/Collateral/MPS2907A-D.PDF","MPS2907A/D (87.0kB)")</f>
        <v>MPS2907A/D (87.0kB)</v>
      </c>
      <c r="C678" t="s">
        <v>19</v>
      </c>
      <c r="D678" t="s">
        <v>70</v>
      </c>
      <c r="E678" t="s">
        <v>427</v>
      </c>
      <c r="F678" t="s">
        <v>104</v>
      </c>
      <c r="G678" t="s">
        <v>73</v>
      </c>
      <c r="H678" t="s">
        <v>23</v>
      </c>
      <c r="I678" t="s">
        <v>48</v>
      </c>
      <c r="J678" t="s">
        <v>33</v>
      </c>
      <c r="K678" t="s">
        <v>176</v>
      </c>
      <c r="L678" t="s">
        <v>59</v>
      </c>
      <c r="M678" t="s">
        <v>97</v>
      </c>
      <c r="N678" t="s">
        <v>222</v>
      </c>
    </row>
    <row r="679" spans="1:14" ht="12.75">
      <c r="A679" t="str">
        <f>HYPERLINK("http://www.onsemi.com/PowerSolutions/product.do?id=MPS2907ARLG","MPS2907ARLG")</f>
        <v>MPS2907ARLG</v>
      </c>
      <c r="B679" t="str">
        <f>HYPERLINK("http://www.onsemi.com/pub/Collateral/MPS2907A-D.PDF","MPS2907A/D (87.0kB)")</f>
        <v>MPS2907A/D (87.0kB)</v>
      </c>
      <c r="C679" t="s">
        <v>19</v>
      </c>
      <c r="D679" t="s">
        <v>70</v>
      </c>
      <c r="E679" t="s">
        <v>427</v>
      </c>
      <c r="F679" t="s">
        <v>104</v>
      </c>
      <c r="G679" t="s">
        <v>73</v>
      </c>
      <c r="H679" t="s">
        <v>23</v>
      </c>
      <c r="I679" t="s">
        <v>48</v>
      </c>
      <c r="J679" t="s">
        <v>33</v>
      </c>
      <c r="K679" t="s">
        <v>176</v>
      </c>
      <c r="L679" t="s">
        <v>59</v>
      </c>
      <c r="M679" t="s">
        <v>97</v>
      </c>
      <c r="N679" t="s">
        <v>222</v>
      </c>
    </row>
    <row r="680" spans="1:14" ht="12.75">
      <c r="A680" t="str">
        <f>HYPERLINK("http://www.onsemi.com/PowerSolutions/product.do?id=MPS2907ARLRAG","MPS2907ARLRAG")</f>
        <v>MPS2907ARLRAG</v>
      </c>
      <c r="B680" t="str">
        <f>HYPERLINK("http://www.onsemi.com/pub/Collateral/MPS2907A-D.PDF","MPS2907A/D (87.0kB)")</f>
        <v>MPS2907A/D (87.0kB)</v>
      </c>
      <c r="C680" t="s">
        <v>19</v>
      </c>
      <c r="D680" t="s">
        <v>70</v>
      </c>
      <c r="E680" t="s">
        <v>427</v>
      </c>
      <c r="F680" t="s">
        <v>104</v>
      </c>
      <c r="G680" t="s">
        <v>73</v>
      </c>
      <c r="H680" t="s">
        <v>23</v>
      </c>
      <c r="I680" t="s">
        <v>48</v>
      </c>
      <c r="J680" t="s">
        <v>33</v>
      </c>
      <c r="K680" t="s">
        <v>176</v>
      </c>
      <c r="L680" t="s">
        <v>59</v>
      </c>
      <c r="M680" t="s">
        <v>97</v>
      </c>
      <c r="N680" t="s">
        <v>222</v>
      </c>
    </row>
    <row r="681" spans="1:14" ht="12.75">
      <c r="A681" t="str">
        <f>HYPERLINK("http://www.onsemi.com/PowerSolutions/product.do?id=MPS2907ARLRPG","MPS2907ARLRPG")</f>
        <v>MPS2907ARLRPG</v>
      </c>
      <c r="B681" t="str">
        <f>HYPERLINK("http://www.onsemi.com/pub/Collateral/MPS2907A-D.PDF","MPS2907A/D (87.0kB)")</f>
        <v>MPS2907A/D (87.0kB)</v>
      </c>
      <c r="C681" t="s">
        <v>19</v>
      </c>
      <c r="D681" t="s">
        <v>70</v>
      </c>
      <c r="E681" t="s">
        <v>427</v>
      </c>
      <c r="F681" t="s">
        <v>104</v>
      </c>
      <c r="G681" t="s">
        <v>73</v>
      </c>
      <c r="H681" t="s">
        <v>23</v>
      </c>
      <c r="I681" t="s">
        <v>48</v>
      </c>
      <c r="J681" t="s">
        <v>33</v>
      </c>
      <c r="K681" t="s">
        <v>176</v>
      </c>
      <c r="L681" t="s">
        <v>59</v>
      </c>
      <c r="M681" t="s">
        <v>97</v>
      </c>
      <c r="N681" t="s">
        <v>222</v>
      </c>
    </row>
    <row r="682" spans="1:14" ht="12.75">
      <c r="A682" t="str">
        <f>HYPERLINK("http://www.onsemi.com/PowerSolutions/product.do?id=MPS4124RLRAG","MPS4124RLRAG")</f>
        <v>MPS4124RLRAG</v>
      </c>
      <c r="B682" t="str">
        <f>HYPERLINK("http://www.onsemi.com/pub/Collateral/MPS4124-D.PDF","MPS4124/D (48.0kB)")</f>
        <v>MPS4124/D (48.0kB)</v>
      </c>
      <c r="C682" t="s">
        <v>19</v>
      </c>
      <c r="D682" t="s">
        <v>70</v>
      </c>
      <c r="E682" t="s">
        <v>460</v>
      </c>
      <c r="F682" t="s">
        <v>47</v>
      </c>
      <c r="G682" t="s">
        <v>102</v>
      </c>
      <c r="H682" t="s">
        <v>24</v>
      </c>
      <c r="I682" t="s">
        <v>25</v>
      </c>
      <c r="J682" t="s">
        <v>461</v>
      </c>
      <c r="K682" t="s">
        <v>96</v>
      </c>
      <c r="L682" t="s">
        <v>50</v>
      </c>
      <c r="M682" t="s">
        <v>97</v>
      </c>
      <c r="N682" t="s">
        <v>124</v>
      </c>
    </row>
    <row r="683" spans="1:14" ht="12.75">
      <c r="A683" t="str">
        <f>HYPERLINK("http://www.onsemi.com/PowerSolutions/product.do?id=MPS4126RLRAG","MPS4126RLRAG")</f>
        <v>MPS4126RLRAG</v>
      </c>
      <c r="B683" t="str">
        <f>HYPERLINK("http://www.onsemi.com/pub/Collateral/MPS4126-D.PDF","MPS4126/D (48.0kB)")</f>
        <v>MPS4126/D (48.0kB)</v>
      </c>
      <c r="C683" t="s">
        <v>19</v>
      </c>
      <c r="D683" t="s">
        <v>70</v>
      </c>
      <c r="E683" t="s">
        <v>427</v>
      </c>
      <c r="F683" t="s">
        <v>47</v>
      </c>
      <c r="G683" t="s">
        <v>102</v>
      </c>
      <c r="H683" t="s">
        <v>24</v>
      </c>
      <c r="I683" t="s">
        <v>25</v>
      </c>
      <c r="J683" t="s">
        <v>461</v>
      </c>
      <c r="K683" t="s">
        <v>96</v>
      </c>
      <c r="L683" t="s">
        <v>59</v>
      </c>
      <c r="M683" t="s">
        <v>97</v>
      </c>
      <c r="N683" t="s">
        <v>124</v>
      </c>
    </row>
    <row r="684" spans="1:14" ht="12.75">
      <c r="A684" t="str">
        <f>HYPERLINK("http://www.onsemi.com/PowerSolutions/product.do?id=MPS4250G","MPS4250G")</f>
        <v>MPS4250G</v>
      </c>
      <c r="B684" t="str">
        <f>HYPERLINK("http://www.onsemi.com/pub/Collateral/MPS4250-D.PDF","MPS4250/D (49.0kB)")</f>
        <v>MPS4250/D (49.0kB)</v>
      </c>
      <c r="C684" t="s">
        <v>19</v>
      </c>
      <c r="D684" t="s">
        <v>70</v>
      </c>
      <c r="E684" t="s">
        <v>427</v>
      </c>
      <c r="G684" t="s">
        <v>41</v>
      </c>
      <c r="H684" t="s">
        <v>58</v>
      </c>
      <c r="K684" t="s">
        <v>96</v>
      </c>
      <c r="L684" t="s">
        <v>59</v>
      </c>
      <c r="M684" t="s">
        <v>177</v>
      </c>
      <c r="N684" t="s">
        <v>124</v>
      </c>
    </row>
    <row r="685" spans="1:14" ht="12.75">
      <c r="A685" t="str">
        <f>HYPERLINK("http://www.onsemi.com/PowerSolutions/product.do?id=MPS5172RLRMG","MPS5172RLRMG")</f>
        <v>MPS5172RLRMG</v>
      </c>
      <c r="B685" t="str">
        <f>HYPERLINK("http://www.onsemi.com/pub/Collateral/MPS5172-D.PDF","MPS5172/D (98.0kB)")</f>
        <v>MPS5172/D (98.0kB)</v>
      </c>
      <c r="C685" t="s">
        <v>19</v>
      </c>
      <c r="D685" t="s">
        <v>70</v>
      </c>
      <c r="E685" t="s">
        <v>462</v>
      </c>
      <c r="F685" t="s">
        <v>63</v>
      </c>
      <c r="G685" t="s">
        <v>102</v>
      </c>
      <c r="H685" t="s">
        <v>23</v>
      </c>
      <c r="I685" t="s">
        <v>34</v>
      </c>
      <c r="K685" t="s">
        <v>96</v>
      </c>
      <c r="L685" t="s">
        <v>50</v>
      </c>
      <c r="M685" t="s">
        <v>97</v>
      </c>
      <c r="N685" t="s">
        <v>124</v>
      </c>
    </row>
    <row r="686" spans="1:14" ht="12.75">
      <c r="A686" t="str">
        <f>HYPERLINK("http://www.onsemi.com/PowerSolutions/product.do?id=MPS650G","MPS650G")</f>
        <v>MPS650G</v>
      </c>
      <c r="B686" t="str">
        <f aca="true" t="shared" si="26" ref="B686:B691">HYPERLINK("http://www.onsemi.com/pub/Collateral/MPS650-D.PDF","MPS650/D (68.0kB)")</f>
        <v>MPS650/D (68.0kB)</v>
      </c>
      <c r="C686" t="s">
        <v>19</v>
      </c>
      <c r="D686" t="s">
        <v>70</v>
      </c>
      <c r="E686" t="s">
        <v>463</v>
      </c>
      <c r="F686" t="s">
        <v>26</v>
      </c>
      <c r="G686" t="s">
        <v>41</v>
      </c>
      <c r="H686" t="s">
        <v>41</v>
      </c>
      <c r="J686" t="s">
        <v>164</v>
      </c>
      <c r="K686" t="s">
        <v>96</v>
      </c>
      <c r="L686" t="s">
        <v>50</v>
      </c>
      <c r="M686" t="s">
        <v>97</v>
      </c>
      <c r="N686" t="s">
        <v>100</v>
      </c>
    </row>
    <row r="687" spans="1:14" ht="12.75">
      <c r="A687" t="str">
        <f>HYPERLINK("http://www.onsemi.com/PowerSolutions/product.do?id=MPS650RLRAG","MPS650RLRAG")</f>
        <v>MPS650RLRAG</v>
      </c>
      <c r="B687" t="str">
        <f t="shared" si="26"/>
        <v>MPS650/D (68.0kB)</v>
      </c>
      <c r="C687" t="s">
        <v>19</v>
      </c>
      <c r="D687" t="s">
        <v>70</v>
      </c>
      <c r="E687" t="s">
        <v>452</v>
      </c>
      <c r="F687" t="s">
        <v>26</v>
      </c>
      <c r="G687" t="s">
        <v>41</v>
      </c>
      <c r="H687" t="s">
        <v>41</v>
      </c>
      <c r="J687" t="s">
        <v>164</v>
      </c>
      <c r="K687" t="s">
        <v>96</v>
      </c>
      <c r="L687" t="s">
        <v>50</v>
      </c>
      <c r="M687" t="s">
        <v>97</v>
      </c>
      <c r="N687" t="s">
        <v>464</v>
      </c>
    </row>
    <row r="688" spans="1:14" ht="12.75">
      <c r="A688" t="str">
        <f>HYPERLINK("http://www.onsemi.com/PowerSolutions/product.do?id=MPS650ZL1G","MPS650ZL1G")</f>
        <v>MPS650ZL1G</v>
      </c>
      <c r="B688" t="str">
        <f t="shared" si="26"/>
        <v>MPS650/D (68.0kB)</v>
      </c>
      <c r="C688" t="s">
        <v>19</v>
      </c>
      <c r="D688" t="s">
        <v>70</v>
      </c>
      <c r="E688" t="s">
        <v>463</v>
      </c>
      <c r="F688" t="s">
        <v>26</v>
      </c>
      <c r="G688" t="s">
        <v>41</v>
      </c>
      <c r="H688" t="s">
        <v>41</v>
      </c>
      <c r="J688" t="s">
        <v>164</v>
      </c>
      <c r="K688" t="s">
        <v>96</v>
      </c>
      <c r="L688" t="s">
        <v>50</v>
      </c>
      <c r="M688" t="s">
        <v>97</v>
      </c>
      <c r="N688" t="s">
        <v>465</v>
      </c>
    </row>
    <row r="689" spans="1:14" ht="12.75">
      <c r="A689" t="str">
        <f>HYPERLINK("http://www.onsemi.com/PowerSolutions/product.do?id=MPS651G","MPS651G")</f>
        <v>MPS651G</v>
      </c>
      <c r="B689" t="str">
        <f t="shared" si="26"/>
        <v>MPS650/D (68.0kB)</v>
      </c>
      <c r="C689" t="s">
        <v>19</v>
      </c>
      <c r="D689" t="s">
        <v>70</v>
      </c>
      <c r="E689" t="s">
        <v>463</v>
      </c>
      <c r="F689" t="s">
        <v>26</v>
      </c>
      <c r="G689" t="s">
        <v>73</v>
      </c>
      <c r="H689" t="s">
        <v>41</v>
      </c>
      <c r="J689" t="s">
        <v>164</v>
      </c>
      <c r="K689" t="s">
        <v>96</v>
      </c>
      <c r="L689" t="s">
        <v>50</v>
      </c>
      <c r="M689" t="s">
        <v>97</v>
      </c>
      <c r="N689" t="s">
        <v>264</v>
      </c>
    </row>
    <row r="690" spans="1:14" ht="12.75">
      <c r="A690" t="str">
        <f>HYPERLINK("http://www.onsemi.com/PowerSolutions/product.do?id=MPS651RLRAG","MPS651RLRAG")</f>
        <v>MPS651RLRAG</v>
      </c>
      <c r="B690" t="str">
        <f t="shared" si="26"/>
        <v>MPS650/D (68.0kB)</v>
      </c>
      <c r="C690" t="s">
        <v>19</v>
      </c>
      <c r="D690" t="s">
        <v>70</v>
      </c>
      <c r="E690" t="s">
        <v>463</v>
      </c>
      <c r="F690" t="s">
        <v>26</v>
      </c>
      <c r="G690" t="s">
        <v>73</v>
      </c>
      <c r="H690" t="s">
        <v>41</v>
      </c>
      <c r="J690" t="s">
        <v>164</v>
      </c>
      <c r="K690" t="s">
        <v>96</v>
      </c>
      <c r="L690" t="s">
        <v>50</v>
      </c>
      <c r="M690" t="s">
        <v>97</v>
      </c>
      <c r="N690" t="s">
        <v>264</v>
      </c>
    </row>
    <row r="691" spans="1:14" ht="12.75">
      <c r="A691" t="str">
        <f>HYPERLINK("http://www.onsemi.com/PowerSolutions/product.do?id=MPS651RLRMG","MPS651RLRMG")</f>
        <v>MPS651RLRMG</v>
      </c>
      <c r="B691" t="str">
        <f t="shared" si="26"/>
        <v>MPS650/D (68.0kB)</v>
      </c>
      <c r="C691" t="s">
        <v>19</v>
      </c>
      <c r="D691" t="s">
        <v>70</v>
      </c>
      <c r="E691" t="s">
        <v>463</v>
      </c>
      <c r="F691" t="s">
        <v>26</v>
      </c>
      <c r="G691" t="s">
        <v>73</v>
      </c>
      <c r="H691" t="s">
        <v>41</v>
      </c>
      <c r="J691" t="s">
        <v>164</v>
      </c>
      <c r="K691" t="s">
        <v>96</v>
      </c>
      <c r="L691" t="s">
        <v>50</v>
      </c>
      <c r="M691" t="s">
        <v>97</v>
      </c>
      <c r="N691" t="s">
        <v>264</v>
      </c>
    </row>
    <row r="692" spans="1:14" ht="12.75">
      <c r="A692" t="str">
        <f>HYPERLINK("http://www.onsemi.com/PowerSolutions/product.do?id=MPS6601RLRAG","MPS6601RLRAG")</f>
        <v>MPS6601RLRAG</v>
      </c>
      <c r="B692" t="str">
        <f>HYPERLINK("http://www.onsemi.com/pub/Collateral/MPS6601-D.PDF","MPS6601/D (86.0kB)")</f>
        <v>MPS6601/D (86.0kB)</v>
      </c>
      <c r="C692" t="s">
        <v>19</v>
      </c>
      <c r="D692" t="s">
        <v>70</v>
      </c>
      <c r="E692" t="s">
        <v>452</v>
      </c>
      <c r="F692" t="s">
        <v>31</v>
      </c>
      <c r="G692" t="s">
        <v>102</v>
      </c>
      <c r="H692" t="s">
        <v>120</v>
      </c>
      <c r="J692" t="s">
        <v>23</v>
      </c>
      <c r="K692" t="s">
        <v>96</v>
      </c>
      <c r="L692" t="s">
        <v>50</v>
      </c>
      <c r="M692" t="s">
        <v>97</v>
      </c>
      <c r="N692" t="s">
        <v>466</v>
      </c>
    </row>
    <row r="693" spans="1:14" ht="12.75">
      <c r="A693" t="str">
        <f>HYPERLINK("http://www.onsemi.com/PowerSolutions/product.do?id=MPS6652G","MPS6652G")</f>
        <v>MPS6652G</v>
      </c>
      <c r="B693" t="str">
        <f>HYPERLINK("http://www.onsemi.com/pub/Collateral/MPS6601-D.PDF","MPS6601/D (86.0kB)")</f>
        <v>MPS6601/D (86.0kB)</v>
      </c>
      <c r="C693" t="s">
        <v>19</v>
      </c>
      <c r="D693" t="s">
        <v>70</v>
      </c>
      <c r="E693" t="s">
        <v>467</v>
      </c>
      <c r="F693" t="s">
        <v>31</v>
      </c>
      <c r="G693" t="s">
        <v>41</v>
      </c>
      <c r="H693" t="s">
        <v>120</v>
      </c>
      <c r="J693" t="s">
        <v>23</v>
      </c>
      <c r="K693" t="s">
        <v>96</v>
      </c>
      <c r="L693" t="s">
        <v>59</v>
      </c>
      <c r="M693" t="s">
        <v>97</v>
      </c>
      <c r="N693" t="s">
        <v>201</v>
      </c>
    </row>
    <row r="694" spans="1:14" ht="12.75">
      <c r="A694" t="str">
        <f>HYPERLINK("http://www.onsemi.com/PowerSolutions/product.do?id=MPS6652RLRAG","MPS6652RLRAG")</f>
        <v>MPS6652RLRAG</v>
      </c>
      <c r="B694" t="str">
        <f>HYPERLINK("http://www.onsemi.com/pub/Collateral/MPS6601-D.PDF","MPS6601/D (86.0kB)")</f>
        <v>MPS6601/D (86.0kB)</v>
      </c>
      <c r="C694" t="s">
        <v>19</v>
      </c>
      <c r="D694" t="s">
        <v>70</v>
      </c>
      <c r="E694" t="s">
        <v>467</v>
      </c>
      <c r="F694" t="s">
        <v>31</v>
      </c>
      <c r="G694" t="s">
        <v>41</v>
      </c>
      <c r="H694" t="s">
        <v>120</v>
      </c>
      <c r="J694" t="s">
        <v>23</v>
      </c>
      <c r="K694" t="s">
        <v>96</v>
      </c>
      <c r="L694" t="s">
        <v>59</v>
      </c>
      <c r="M694" t="s">
        <v>97</v>
      </c>
      <c r="N694" t="s">
        <v>201</v>
      </c>
    </row>
    <row r="695" spans="1:14" ht="12.75">
      <c r="A695" t="str">
        <f>HYPERLINK("http://www.onsemi.com/PowerSolutions/product.do?id=MPS6726G","MPS6726G")</f>
        <v>MPS6726G</v>
      </c>
      <c r="B695" t="str">
        <f>HYPERLINK("http://www.onsemi.com/pub/Collateral/MPS6726-D.PDF","MPS6726/D (54.0kB)")</f>
        <v>MPS6726/D (54.0kB)</v>
      </c>
      <c r="C695" t="s">
        <v>19</v>
      </c>
      <c r="D695" t="s">
        <v>70</v>
      </c>
      <c r="E695" t="s">
        <v>467</v>
      </c>
      <c r="F695" t="s">
        <v>31</v>
      </c>
      <c r="G695" t="s">
        <v>86</v>
      </c>
      <c r="H695" t="s">
        <v>120</v>
      </c>
      <c r="I695" t="s">
        <v>58</v>
      </c>
      <c r="K695" t="s">
        <v>31</v>
      </c>
      <c r="L695" t="s">
        <v>59</v>
      </c>
      <c r="M695" t="s">
        <v>177</v>
      </c>
      <c r="N695" t="s">
        <v>178</v>
      </c>
    </row>
    <row r="696" spans="1:14" ht="12.75">
      <c r="A696" t="str">
        <f>HYPERLINK("http://www.onsemi.com/PowerSolutions/product.do?id=MPS750RLRPG","MPS750RLRPG")</f>
        <v>MPS750RLRPG</v>
      </c>
      <c r="B696" t="str">
        <f>HYPERLINK("http://www.onsemi.com/pub/Collateral/MPS650-D.PDF","MPS650/D (68.0kB)")</f>
        <v>MPS650/D (68.0kB)</v>
      </c>
      <c r="C696" t="s">
        <v>19</v>
      </c>
      <c r="D696" t="s">
        <v>70</v>
      </c>
      <c r="E696" t="s">
        <v>468</v>
      </c>
      <c r="F696" t="s">
        <v>26</v>
      </c>
      <c r="G696" t="s">
        <v>41</v>
      </c>
      <c r="H696" t="s">
        <v>41</v>
      </c>
      <c r="J696" t="s">
        <v>164</v>
      </c>
      <c r="K696" t="s">
        <v>96</v>
      </c>
      <c r="L696" t="s">
        <v>59</v>
      </c>
      <c r="M696" t="s">
        <v>97</v>
      </c>
      <c r="N696" t="s">
        <v>264</v>
      </c>
    </row>
    <row r="697" spans="1:14" ht="12.75">
      <c r="A697" t="str">
        <f>HYPERLINK("http://www.onsemi.com/PowerSolutions/product.do?id=MPS751G","MPS751G")</f>
        <v>MPS751G</v>
      </c>
      <c r="B697" t="str">
        <f>HYPERLINK("http://www.onsemi.com/pub/Collateral/MPS650-D.PDF","MPS650/D (68.0kB)")</f>
        <v>MPS650/D (68.0kB)</v>
      </c>
      <c r="C697" t="s">
        <v>19</v>
      </c>
      <c r="D697" t="s">
        <v>70</v>
      </c>
      <c r="E697" t="s">
        <v>427</v>
      </c>
      <c r="F697" t="s">
        <v>26</v>
      </c>
      <c r="G697" t="s">
        <v>73</v>
      </c>
      <c r="H697" t="s">
        <v>41</v>
      </c>
      <c r="J697" t="s">
        <v>164</v>
      </c>
      <c r="K697" t="s">
        <v>96</v>
      </c>
      <c r="L697" t="s">
        <v>59</v>
      </c>
      <c r="M697" t="s">
        <v>97</v>
      </c>
      <c r="N697" t="s">
        <v>264</v>
      </c>
    </row>
    <row r="698" spans="1:14" ht="12.75">
      <c r="A698" t="str">
        <f>HYPERLINK("http://www.onsemi.com/PowerSolutions/product.do?id=MPS751RLRAG","MPS751RLRAG")</f>
        <v>MPS751RLRAG</v>
      </c>
      <c r="B698" t="str">
        <f>HYPERLINK("http://www.onsemi.com/pub/Collateral/MPS650-D.PDF","MPS650/D (68.0kB)")</f>
        <v>MPS650/D (68.0kB)</v>
      </c>
      <c r="C698" t="s">
        <v>19</v>
      </c>
      <c r="D698" t="s">
        <v>70</v>
      </c>
      <c r="E698" t="s">
        <v>427</v>
      </c>
      <c r="F698" t="s">
        <v>26</v>
      </c>
      <c r="G698" t="s">
        <v>73</v>
      </c>
      <c r="H698" t="s">
        <v>41</v>
      </c>
      <c r="J698" t="s">
        <v>164</v>
      </c>
      <c r="K698" t="s">
        <v>96</v>
      </c>
      <c r="L698" t="s">
        <v>59</v>
      </c>
      <c r="M698" t="s">
        <v>97</v>
      </c>
      <c r="N698" t="s">
        <v>264</v>
      </c>
    </row>
    <row r="699" spans="1:14" ht="12.75">
      <c r="A699" t="str">
        <f>HYPERLINK("http://www.onsemi.com/PowerSolutions/product.do?id=MPS751RLRPG","MPS751RLRPG")</f>
        <v>MPS751RLRPG</v>
      </c>
      <c r="B699" t="str">
        <f>HYPERLINK("http://www.onsemi.com/pub/Collateral/MPS650-D.PDF","MPS650/D (68.0kB)")</f>
        <v>MPS650/D (68.0kB)</v>
      </c>
      <c r="C699" t="s">
        <v>19</v>
      </c>
      <c r="D699" t="s">
        <v>70</v>
      </c>
      <c r="E699" t="s">
        <v>427</v>
      </c>
      <c r="F699" t="s">
        <v>26</v>
      </c>
      <c r="G699" t="s">
        <v>73</v>
      </c>
      <c r="H699" t="s">
        <v>41</v>
      </c>
      <c r="J699" t="s">
        <v>164</v>
      </c>
      <c r="K699" t="s">
        <v>96</v>
      </c>
      <c r="L699" t="s">
        <v>59</v>
      </c>
      <c r="M699" t="s">
        <v>97</v>
      </c>
      <c r="N699" t="s">
        <v>264</v>
      </c>
    </row>
    <row r="700" spans="1:14" ht="12.75">
      <c r="A700" t="str">
        <f>HYPERLINK("http://www.onsemi.com/PowerSolutions/product.do?id=MPS751ZL1G","MPS751ZL1G")</f>
        <v>MPS751ZL1G</v>
      </c>
      <c r="B700" t="str">
        <f>HYPERLINK("http://www.onsemi.com/pub/Collateral/MPS650-D.PDF","MPS650/D (68.0kB)")</f>
        <v>MPS650/D (68.0kB)</v>
      </c>
      <c r="C700" t="s">
        <v>19</v>
      </c>
      <c r="D700" t="s">
        <v>70</v>
      </c>
      <c r="E700" t="s">
        <v>427</v>
      </c>
      <c r="F700" t="s">
        <v>26</v>
      </c>
      <c r="G700" t="s">
        <v>73</v>
      </c>
      <c r="H700" t="s">
        <v>41</v>
      </c>
      <c r="J700" t="s">
        <v>164</v>
      </c>
      <c r="K700" t="s">
        <v>96</v>
      </c>
      <c r="L700" t="s">
        <v>59</v>
      </c>
      <c r="M700" t="s">
        <v>97</v>
      </c>
      <c r="N700" t="s">
        <v>264</v>
      </c>
    </row>
    <row r="701" spans="1:14" ht="12.75">
      <c r="A701" t="str">
        <f>HYPERLINK("http://www.onsemi.com/PowerSolutions/product.do?id=MPS8099G","MPS8099G")</f>
        <v>MPS8099G</v>
      </c>
      <c r="B701" t="str">
        <f>HYPERLINK("http://www.onsemi.com/pub/Collateral/MPS8098-D.PDF","MPS8098/D (88.0kB)")</f>
        <v>MPS8098/D (88.0kB)</v>
      </c>
      <c r="C701" t="s">
        <v>19</v>
      </c>
      <c r="D701" t="s">
        <v>70</v>
      </c>
      <c r="E701" t="s">
        <v>452</v>
      </c>
      <c r="F701" t="s">
        <v>135</v>
      </c>
      <c r="G701" t="s">
        <v>111</v>
      </c>
      <c r="H701" t="s">
        <v>23</v>
      </c>
      <c r="I701" t="s">
        <v>48</v>
      </c>
      <c r="J701" t="s">
        <v>88</v>
      </c>
      <c r="K701" t="s">
        <v>96</v>
      </c>
      <c r="L701" t="s">
        <v>50</v>
      </c>
      <c r="M701" t="s">
        <v>97</v>
      </c>
      <c r="N701" t="s">
        <v>201</v>
      </c>
    </row>
    <row r="702" spans="1:14" ht="12.75">
      <c r="A702" t="str">
        <f>HYPERLINK("http://www.onsemi.com/PowerSolutions/product.do?id=MPS8099RLRAG","MPS8099RLRAG")</f>
        <v>MPS8099RLRAG</v>
      </c>
      <c r="B702" t="str">
        <f>HYPERLINK("http://www.onsemi.com/pub/Collateral/MPS8098-D.PDF","MPS8098/D (88.0kB)")</f>
        <v>MPS8098/D (88.0kB)</v>
      </c>
      <c r="C702" t="s">
        <v>19</v>
      </c>
      <c r="D702" t="s">
        <v>70</v>
      </c>
      <c r="E702" t="s">
        <v>452</v>
      </c>
      <c r="F702" t="s">
        <v>135</v>
      </c>
      <c r="G702" t="s">
        <v>111</v>
      </c>
      <c r="H702" t="s">
        <v>23</v>
      </c>
      <c r="I702" t="s">
        <v>48</v>
      </c>
      <c r="J702" t="s">
        <v>88</v>
      </c>
      <c r="K702" t="s">
        <v>96</v>
      </c>
      <c r="L702" t="s">
        <v>50</v>
      </c>
      <c r="M702" t="s">
        <v>97</v>
      </c>
      <c r="N702" t="s">
        <v>201</v>
      </c>
    </row>
    <row r="703" spans="1:14" ht="12.75">
      <c r="A703" t="str">
        <f>HYPERLINK("http://www.onsemi.com/PowerSolutions/product.do?id=MPS8099RLRP","MPS8099RLRP")</f>
        <v>MPS8099RLRP</v>
      </c>
      <c r="B703" t="str">
        <f>HYPERLINK("http://www.onsemi.com/pub/Collateral/MPS8098-D.PDF","MPS8098/D (88.0kB)")</f>
        <v>MPS8098/D (88.0kB)</v>
      </c>
      <c r="C703" t="s">
        <v>69</v>
      </c>
      <c r="D703" t="s">
        <v>70</v>
      </c>
      <c r="E703" t="s">
        <v>452</v>
      </c>
      <c r="F703" t="s">
        <v>135</v>
      </c>
      <c r="G703" t="s">
        <v>111</v>
      </c>
      <c r="H703" t="s">
        <v>23</v>
      </c>
      <c r="I703" t="s">
        <v>48</v>
      </c>
      <c r="J703" t="s">
        <v>88</v>
      </c>
      <c r="K703" t="s">
        <v>96</v>
      </c>
      <c r="L703" t="s">
        <v>50</v>
      </c>
      <c r="M703" t="s">
        <v>97</v>
      </c>
      <c r="N703" t="s">
        <v>201</v>
      </c>
    </row>
    <row r="704" spans="1:14" ht="12.75">
      <c r="A704" t="str">
        <f>HYPERLINK("http://www.onsemi.com/PowerSolutions/product.do?id=MPS8099RLRPG","MPS8099RLRPG")</f>
        <v>MPS8099RLRPG</v>
      </c>
      <c r="B704" t="str">
        <f>HYPERLINK("http://www.onsemi.com/pub/Collateral/MPS8098-D.PDF","MPS8098/D (88.0kB)")</f>
        <v>MPS8098/D (88.0kB)</v>
      </c>
      <c r="C704" t="s">
        <v>19</v>
      </c>
      <c r="D704" t="s">
        <v>70</v>
      </c>
      <c r="E704" t="s">
        <v>452</v>
      </c>
      <c r="F704" t="s">
        <v>135</v>
      </c>
      <c r="G704" t="s">
        <v>111</v>
      </c>
      <c r="H704" t="s">
        <v>23</v>
      </c>
      <c r="I704" t="s">
        <v>48</v>
      </c>
      <c r="J704" t="s">
        <v>88</v>
      </c>
      <c r="K704" t="s">
        <v>96</v>
      </c>
      <c r="L704" t="s">
        <v>50</v>
      </c>
      <c r="M704" t="s">
        <v>97</v>
      </c>
      <c r="N704" t="s">
        <v>201</v>
      </c>
    </row>
    <row r="705" spans="1:14" ht="12.75">
      <c r="A705" t="str">
        <f>HYPERLINK("http://www.onsemi.com/PowerSolutions/product.do?id=MPS8599RLRAG","MPS8599RLRAG")</f>
        <v>MPS8599RLRAG</v>
      </c>
      <c r="B705" t="str">
        <f>HYPERLINK("http://www.onsemi.com/pub/Collateral/MPS8098-D.PDF","MPS8098/D (88.0kB)")</f>
        <v>MPS8098/D (88.0kB)</v>
      </c>
      <c r="C705" t="s">
        <v>19</v>
      </c>
      <c r="D705" t="s">
        <v>70</v>
      </c>
      <c r="E705" t="s">
        <v>469</v>
      </c>
      <c r="F705" t="s">
        <v>135</v>
      </c>
      <c r="G705" t="s">
        <v>111</v>
      </c>
      <c r="H705" t="s">
        <v>23</v>
      </c>
      <c r="I705" t="s">
        <v>48</v>
      </c>
      <c r="J705" t="s">
        <v>88</v>
      </c>
      <c r="K705" t="s">
        <v>96</v>
      </c>
      <c r="L705" t="s">
        <v>59</v>
      </c>
      <c r="M705" t="s">
        <v>97</v>
      </c>
      <c r="N705" t="s">
        <v>201</v>
      </c>
    </row>
    <row r="706" spans="1:14" ht="12.75">
      <c r="A706" t="str">
        <f>HYPERLINK("http://www.onsemi.com/PowerSolutions/product.do?id=MPSA05G","MPSA05G")</f>
        <v>MPSA05G</v>
      </c>
      <c r="B706" t="str">
        <f aca="true" t="shared" si="27" ref="B706:B719">HYPERLINK("http://www.onsemi.com/pub/Collateral/MPSA05-D.PDF","MPSA05/D (89.0kB)")</f>
        <v>MPSA05/D (89.0kB)</v>
      </c>
      <c r="C706" t="s">
        <v>19</v>
      </c>
      <c r="D706" t="s">
        <v>70</v>
      </c>
      <c r="E706" t="s">
        <v>459</v>
      </c>
      <c r="F706" t="s">
        <v>135</v>
      </c>
      <c r="G706" t="s">
        <v>73</v>
      </c>
      <c r="H706" t="s">
        <v>23</v>
      </c>
      <c r="J706" t="s">
        <v>23</v>
      </c>
      <c r="K706" t="s">
        <v>96</v>
      </c>
      <c r="L706" t="s">
        <v>50</v>
      </c>
      <c r="M706" t="s">
        <v>97</v>
      </c>
      <c r="N706" t="s">
        <v>124</v>
      </c>
    </row>
    <row r="707" spans="1:14" ht="12.75">
      <c r="A707" t="str">
        <f>HYPERLINK("http://www.onsemi.com/PowerSolutions/product.do?id=MPSA05RLRA","MPSA05RLRA")</f>
        <v>MPSA05RLRA</v>
      </c>
      <c r="B707" t="str">
        <f t="shared" si="27"/>
        <v>MPSA05/D (89.0kB)</v>
      </c>
      <c r="C707" t="s">
        <v>69</v>
      </c>
      <c r="D707" t="s">
        <v>70</v>
      </c>
      <c r="E707" t="s">
        <v>459</v>
      </c>
      <c r="F707" t="s">
        <v>135</v>
      </c>
      <c r="G707" t="s">
        <v>73</v>
      </c>
      <c r="H707" t="s">
        <v>23</v>
      </c>
      <c r="J707" t="s">
        <v>23</v>
      </c>
      <c r="K707" t="s">
        <v>96</v>
      </c>
      <c r="L707" t="s">
        <v>50</v>
      </c>
      <c r="M707" t="s">
        <v>97</v>
      </c>
      <c r="N707" t="s">
        <v>124</v>
      </c>
    </row>
    <row r="708" spans="1:14" ht="12.75">
      <c r="A708" t="str">
        <f>HYPERLINK("http://www.onsemi.com/PowerSolutions/product.do?id=MPSA05RLRAG","MPSA05RLRAG")</f>
        <v>MPSA05RLRAG</v>
      </c>
      <c r="B708" t="str">
        <f t="shared" si="27"/>
        <v>MPSA05/D (89.0kB)</v>
      </c>
      <c r="C708" t="s">
        <v>19</v>
      </c>
      <c r="D708" t="s">
        <v>70</v>
      </c>
      <c r="E708" t="s">
        <v>459</v>
      </c>
      <c r="F708" t="s">
        <v>135</v>
      </c>
      <c r="G708" t="s">
        <v>73</v>
      </c>
      <c r="H708" t="s">
        <v>23</v>
      </c>
      <c r="J708" t="s">
        <v>23</v>
      </c>
      <c r="K708" t="s">
        <v>96</v>
      </c>
      <c r="L708" t="s">
        <v>50</v>
      </c>
      <c r="M708" t="s">
        <v>97</v>
      </c>
      <c r="N708" t="s">
        <v>124</v>
      </c>
    </row>
    <row r="709" spans="1:14" ht="12.75">
      <c r="A709" t="str">
        <f>HYPERLINK("http://www.onsemi.com/PowerSolutions/product.do?id=MPSA05RLRM","MPSA05RLRM")</f>
        <v>MPSA05RLRM</v>
      </c>
      <c r="B709" t="str">
        <f t="shared" si="27"/>
        <v>MPSA05/D (89.0kB)</v>
      </c>
      <c r="C709" t="s">
        <v>69</v>
      </c>
      <c r="D709" t="s">
        <v>70</v>
      </c>
      <c r="E709" t="s">
        <v>459</v>
      </c>
      <c r="F709" t="s">
        <v>135</v>
      </c>
      <c r="G709" t="s">
        <v>73</v>
      </c>
      <c r="H709" t="s">
        <v>23</v>
      </c>
      <c r="J709" t="s">
        <v>23</v>
      </c>
      <c r="K709" t="s">
        <v>96</v>
      </c>
      <c r="L709" t="s">
        <v>50</v>
      </c>
      <c r="M709" t="s">
        <v>97</v>
      </c>
      <c r="N709" t="s">
        <v>124</v>
      </c>
    </row>
    <row r="710" spans="1:14" ht="12.75">
      <c r="A710" t="str">
        <f>HYPERLINK("http://www.onsemi.com/PowerSolutions/product.do?id=MPSA05RLRMG","MPSA05RLRMG")</f>
        <v>MPSA05RLRMG</v>
      </c>
      <c r="B710" t="str">
        <f t="shared" si="27"/>
        <v>MPSA05/D (89.0kB)</v>
      </c>
      <c r="C710" t="s">
        <v>19</v>
      </c>
      <c r="D710" t="s">
        <v>70</v>
      </c>
      <c r="E710" t="s">
        <v>459</v>
      </c>
      <c r="F710" t="s">
        <v>135</v>
      </c>
      <c r="G710" t="s">
        <v>73</v>
      </c>
      <c r="H710" t="s">
        <v>23</v>
      </c>
      <c r="J710" t="s">
        <v>23</v>
      </c>
      <c r="K710" t="s">
        <v>96</v>
      </c>
      <c r="L710" t="s">
        <v>50</v>
      </c>
      <c r="M710" t="s">
        <v>97</v>
      </c>
      <c r="N710" t="s">
        <v>124</v>
      </c>
    </row>
    <row r="711" spans="1:14" ht="12.75">
      <c r="A711" t="str">
        <f>HYPERLINK("http://www.onsemi.com/PowerSolutions/product.do?id=MPSA06G","MPSA06G")</f>
        <v>MPSA06G</v>
      </c>
      <c r="B711" t="str">
        <f t="shared" si="27"/>
        <v>MPSA05/D (89.0kB)</v>
      </c>
      <c r="C711" t="s">
        <v>19</v>
      </c>
      <c r="D711" t="s">
        <v>70</v>
      </c>
      <c r="E711" t="s">
        <v>459</v>
      </c>
      <c r="F711" t="s">
        <v>135</v>
      </c>
      <c r="G711" t="s">
        <v>111</v>
      </c>
      <c r="H711" t="s">
        <v>23</v>
      </c>
      <c r="J711" t="s">
        <v>23</v>
      </c>
      <c r="K711" t="s">
        <v>96</v>
      </c>
      <c r="L711" t="s">
        <v>50</v>
      </c>
      <c r="M711" t="s">
        <v>97</v>
      </c>
      <c r="N711" t="s">
        <v>470</v>
      </c>
    </row>
    <row r="712" spans="1:14" ht="12.75">
      <c r="A712" t="str">
        <f>HYPERLINK("http://www.onsemi.com/PowerSolutions/product.do?id=MPSA06RL1G","MPSA06RL1G")</f>
        <v>MPSA06RL1G</v>
      </c>
      <c r="B712" t="str">
        <f t="shared" si="27"/>
        <v>MPSA05/D (89.0kB)</v>
      </c>
      <c r="C712" t="s">
        <v>19</v>
      </c>
      <c r="D712" t="s">
        <v>70</v>
      </c>
      <c r="E712" t="s">
        <v>459</v>
      </c>
      <c r="F712" t="s">
        <v>135</v>
      </c>
      <c r="G712" t="s">
        <v>111</v>
      </c>
      <c r="H712" t="s">
        <v>23</v>
      </c>
      <c r="J712" t="s">
        <v>23</v>
      </c>
      <c r="K712" t="s">
        <v>96</v>
      </c>
      <c r="L712" t="s">
        <v>50</v>
      </c>
      <c r="M712" t="s">
        <v>97</v>
      </c>
      <c r="N712" t="s">
        <v>470</v>
      </c>
    </row>
    <row r="713" spans="1:14" ht="12.75">
      <c r="A713" t="str">
        <f>HYPERLINK("http://www.onsemi.com/PowerSolutions/product.do?id=MPSA06RLG","MPSA06RLG")</f>
        <v>MPSA06RLG</v>
      </c>
      <c r="B713" t="str">
        <f t="shared" si="27"/>
        <v>MPSA05/D (89.0kB)</v>
      </c>
      <c r="C713" t="s">
        <v>19</v>
      </c>
      <c r="D713" t="s">
        <v>70</v>
      </c>
      <c r="E713" t="s">
        <v>459</v>
      </c>
      <c r="F713" t="s">
        <v>135</v>
      </c>
      <c r="G713" t="s">
        <v>111</v>
      </c>
      <c r="H713" t="s">
        <v>23</v>
      </c>
      <c r="J713" t="s">
        <v>23</v>
      </c>
      <c r="K713" t="s">
        <v>96</v>
      </c>
      <c r="L713" t="s">
        <v>50</v>
      </c>
      <c r="M713" t="s">
        <v>97</v>
      </c>
      <c r="N713" t="s">
        <v>470</v>
      </c>
    </row>
    <row r="714" spans="1:14" ht="12.75">
      <c r="A714" t="str">
        <f>HYPERLINK("http://www.onsemi.com/PowerSolutions/product.do?id=MPSA06RLRA","MPSA06RLRA")</f>
        <v>MPSA06RLRA</v>
      </c>
      <c r="B714" t="str">
        <f t="shared" si="27"/>
        <v>MPSA05/D (89.0kB)</v>
      </c>
      <c r="C714" t="s">
        <v>69</v>
      </c>
      <c r="D714" t="s">
        <v>70</v>
      </c>
      <c r="E714" t="s">
        <v>459</v>
      </c>
      <c r="F714" t="s">
        <v>135</v>
      </c>
      <c r="G714" t="s">
        <v>111</v>
      </c>
      <c r="H714" t="s">
        <v>23</v>
      </c>
      <c r="J714" t="s">
        <v>23</v>
      </c>
      <c r="K714" t="s">
        <v>96</v>
      </c>
      <c r="L714" t="s">
        <v>50</v>
      </c>
      <c r="M714" t="s">
        <v>97</v>
      </c>
      <c r="N714" t="s">
        <v>470</v>
      </c>
    </row>
    <row r="715" spans="1:14" ht="12.75">
      <c r="A715" t="str">
        <f>HYPERLINK("http://www.onsemi.com/PowerSolutions/product.do?id=MPSA06RLRAG","MPSA06RLRAG")</f>
        <v>MPSA06RLRAG</v>
      </c>
      <c r="B715" t="str">
        <f t="shared" si="27"/>
        <v>MPSA05/D (89.0kB)</v>
      </c>
      <c r="C715" t="s">
        <v>19</v>
      </c>
      <c r="D715" t="s">
        <v>70</v>
      </c>
      <c r="E715" t="s">
        <v>459</v>
      </c>
      <c r="F715" t="s">
        <v>135</v>
      </c>
      <c r="G715" t="s">
        <v>111</v>
      </c>
      <c r="H715" t="s">
        <v>23</v>
      </c>
      <c r="J715" t="s">
        <v>23</v>
      </c>
      <c r="K715" t="s">
        <v>96</v>
      </c>
      <c r="L715" t="s">
        <v>50</v>
      </c>
      <c r="M715" t="s">
        <v>97</v>
      </c>
      <c r="N715" t="s">
        <v>470</v>
      </c>
    </row>
    <row r="716" spans="1:14" ht="12.75">
      <c r="A716" t="str">
        <f>HYPERLINK("http://www.onsemi.com/PowerSolutions/product.do?id=MPSA06RLRM","MPSA06RLRM")</f>
        <v>MPSA06RLRM</v>
      </c>
      <c r="B716" t="str">
        <f t="shared" si="27"/>
        <v>MPSA05/D (89.0kB)</v>
      </c>
      <c r="C716" t="s">
        <v>69</v>
      </c>
      <c r="D716" t="s">
        <v>70</v>
      </c>
      <c r="E716" t="s">
        <v>459</v>
      </c>
      <c r="F716" t="s">
        <v>135</v>
      </c>
      <c r="G716" t="s">
        <v>111</v>
      </c>
      <c r="H716" t="s">
        <v>23</v>
      </c>
      <c r="J716" t="s">
        <v>23</v>
      </c>
      <c r="K716" t="s">
        <v>96</v>
      </c>
      <c r="L716" t="s">
        <v>50</v>
      </c>
      <c r="M716" t="s">
        <v>97</v>
      </c>
      <c r="N716" t="s">
        <v>470</v>
      </c>
    </row>
    <row r="717" spans="1:14" ht="12.75">
      <c r="A717" t="str">
        <f>HYPERLINK("http://www.onsemi.com/PowerSolutions/product.do?id=MPSA06RLRMG","MPSA06RLRMG")</f>
        <v>MPSA06RLRMG</v>
      </c>
      <c r="B717" t="str">
        <f t="shared" si="27"/>
        <v>MPSA05/D (89.0kB)</v>
      </c>
      <c r="C717" t="s">
        <v>19</v>
      </c>
      <c r="D717" t="s">
        <v>70</v>
      </c>
      <c r="E717" t="s">
        <v>459</v>
      </c>
      <c r="F717" t="s">
        <v>135</v>
      </c>
      <c r="G717" t="s">
        <v>111</v>
      </c>
      <c r="H717" t="s">
        <v>23</v>
      </c>
      <c r="J717" t="s">
        <v>23</v>
      </c>
      <c r="K717" t="s">
        <v>96</v>
      </c>
      <c r="L717" t="s">
        <v>50</v>
      </c>
      <c r="M717" t="s">
        <v>97</v>
      </c>
      <c r="N717" t="s">
        <v>470</v>
      </c>
    </row>
    <row r="718" spans="1:14" ht="12.75">
      <c r="A718" t="str">
        <f>HYPERLINK("http://www.onsemi.com/PowerSolutions/product.do?id=MPSA06RLRP","MPSA06RLRP")</f>
        <v>MPSA06RLRP</v>
      </c>
      <c r="B718" t="str">
        <f t="shared" si="27"/>
        <v>MPSA05/D (89.0kB)</v>
      </c>
      <c r="C718" t="s">
        <v>69</v>
      </c>
      <c r="D718" t="s">
        <v>70</v>
      </c>
      <c r="E718" t="s">
        <v>459</v>
      </c>
      <c r="F718" t="s">
        <v>135</v>
      </c>
      <c r="G718" t="s">
        <v>111</v>
      </c>
      <c r="H718" t="s">
        <v>23</v>
      </c>
      <c r="J718" t="s">
        <v>23</v>
      </c>
      <c r="K718" t="s">
        <v>96</v>
      </c>
      <c r="L718" t="s">
        <v>50</v>
      </c>
      <c r="M718" t="s">
        <v>97</v>
      </c>
      <c r="N718" t="s">
        <v>470</v>
      </c>
    </row>
    <row r="719" spans="1:14" ht="12.75">
      <c r="A719" t="str">
        <f>HYPERLINK("http://www.onsemi.com/PowerSolutions/product.do?id=MPSA06RLRPG","MPSA06RLRPG")</f>
        <v>MPSA06RLRPG</v>
      </c>
      <c r="B719" t="str">
        <f t="shared" si="27"/>
        <v>MPSA05/D (89.0kB)</v>
      </c>
      <c r="C719" t="s">
        <v>19</v>
      </c>
      <c r="D719" t="s">
        <v>70</v>
      </c>
      <c r="E719" t="s">
        <v>459</v>
      </c>
      <c r="F719" t="s">
        <v>135</v>
      </c>
      <c r="G719" t="s">
        <v>111</v>
      </c>
      <c r="H719" t="s">
        <v>23</v>
      </c>
      <c r="J719" t="s">
        <v>23</v>
      </c>
      <c r="K719" t="s">
        <v>96</v>
      </c>
      <c r="L719" t="s">
        <v>50</v>
      </c>
      <c r="M719" t="s">
        <v>97</v>
      </c>
      <c r="N719" t="s">
        <v>470</v>
      </c>
    </row>
    <row r="720" spans="1:14" ht="12.75">
      <c r="A720" t="str">
        <f>HYPERLINK("http://www.onsemi.com/PowerSolutions/product.do?id=MPSA18RLRMG","MPSA18RLRMG")</f>
        <v>MPSA18RLRMG</v>
      </c>
      <c r="B720" t="str">
        <f>HYPERLINK("http://www.onsemi.com/pub/Collateral/MPSA18-D.PDF","MPSA18/D (79.0kB)")</f>
        <v>MPSA18/D (79.0kB)</v>
      </c>
      <c r="C720" t="s">
        <v>19</v>
      </c>
      <c r="D720" t="s">
        <v>70</v>
      </c>
      <c r="E720" t="s">
        <v>471</v>
      </c>
      <c r="F720" t="s">
        <v>47</v>
      </c>
      <c r="G720" t="s">
        <v>64</v>
      </c>
      <c r="H720" t="s">
        <v>34</v>
      </c>
      <c r="I720" t="s">
        <v>472</v>
      </c>
      <c r="J720" t="s">
        <v>23</v>
      </c>
      <c r="K720" t="s">
        <v>96</v>
      </c>
      <c r="L720" t="s">
        <v>50</v>
      </c>
      <c r="M720" t="s">
        <v>97</v>
      </c>
      <c r="N720" t="s">
        <v>124</v>
      </c>
    </row>
    <row r="721" spans="1:14" ht="12.75">
      <c r="A721" t="str">
        <f>HYPERLINK("http://www.onsemi.com/PowerSolutions/product.do?id=MPSA42G","MPSA42G")</f>
        <v>MPSA42G</v>
      </c>
      <c r="B721" t="str">
        <f aca="true" t="shared" si="28" ref="B721:B727">HYPERLINK("http://www.onsemi.com/pub/Collateral/MPSA42-D.PDF","MPSA42/D (58.0kB)")</f>
        <v>MPSA42/D (58.0kB)</v>
      </c>
      <c r="C721" t="s">
        <v>19</v>
      </c>
      <c r="D721" t="s">
        <v>70</v>
      </c>
      <c r="E721" t="s">
        <v>454</v>
      </c>
      <c r="F721" t="s">
        <v>135</v>
      </c>
      <c r="G721" t="s">
        <v>48</v>
      </c>
      <c r="H721" t="s">
        <v>41</v>
      </c>
      <c r="J721" t="s">
        <v>120</v>
      </c>
      <c r="K721" t="s">
        <v>96</v>
      </c>
      <c r="L721" t="s">
        <v>50</v>
      </c>
      <c r="M721" t="s">
        <v>97</v>
      </c>
      <c r="N721" t="s">
        <v>291</v>
      </c>
    </row>
    <row r="722" spans="1:14" ht="12.75">
      <c r="A722" t="str">
        <f>HYPERLINK("http://www.onsemi.com/PowerSolutions/product.do?id=MPSA42RL1G","MPSA42RL1G")</f>
        <v>MPSA42RL1G</v>
      </c>
      <c r="B722" t="str">
        <f t="shared" si="28"/>
        <v>MPSA42/D (58.0kB)</v>
      </c>
      <c r="C722" t="s">
        <v>19</v>
      </c>
      <c r="D722" t="s">
        <v>70</v>
      </c>
      <c r="E722" t="s">
        <v>454</v>
      </c>
      <c r="F722" t="s">
        <v>135</v>
      </c>
      <c r="G722" t="s">
        <v>48</v>
      </c>
      <c r="H722" t="s">
        <v>41</v>
      </c>
      <c r="J722" t="s">
        <v>120</v>
      </c>
      <c r="K722" t="s">
        <v>96</v>
      </c>
      <c r="L722" t="s">
        <v>50</v>
      </c>
      <c r="M722" t="s">
        <v>97</v>
      </c>
      <c r="N722" t="s">
        <v>291</v>
      </c>
    </row>
    <row r="723" spans="1:14" ht="12.75">
      <c r="A723" t="str">
        <f>HYPERLINK("http://www.onsemi.com/PowerSolutions/product.do?id=MPSA42RLRAG","MPSA42RLRAG")</f>
        <v>MPSA42RLRAG</v>
      </c>
      <c r="B723" t="str">
        <f t="shared" si="28"/>
        <v>MPSA42/D (58.0kB)</v>
      </c>
      <c r="C723" t="s">
        <v>19</v>
      </c>
      <c r="D723" t="s">
        <v>70</v>
      </c>
      <c r="E723" t="s">
        <v>454</v>
      </c>
      <c r="F723" t="s">
        <v>135</v>
      </c>
      <c r="G723" t="s">
        <v>48</v>
      </c>
      <c r="H723" t="s">
        <v>41</v>
      </c>
      <c r="J723" t="s">
        <v>120</v>
      </c>
      <c r="K723" t="s">
        <v>96</v>
      </c>
      <c r="L723" t="s">
        <v>50</v>
      </c>
      <c r="M723" t="s">
        <v>97</v>
      </c>
      <c r="N723" t="s">
        <v>291</v>
      </c>
    </row>
    <row r="724" spans="1:14" ht="12.75">
      <c r="A724" t="str">
        <f>HYPERLINK("http://www.onsemi.com/PowerSolutions/product.do?id=MPSA42RLRMG","MPSA42RLRMG")</f>
        <v>MPSA42RLRMG</v>
      </c>
      <c r="B724" t="str">
        <f t="shared" si="28"/>
        <v>MPSA42/D (58.0kB)</v>
      </c>
      <c r="C724" t="s">
        <v>19</v>
      </c>
      <c r="D724" t="s">
        <v>70</v>
      </c>
      <c r="E724" t="s">
        <v>454</v>
      </c>
      <c r="F724" t="s">
        <v>135</v>
      </c>
      <c r="G724" t="s">
        <v>48</v>
      </c>
      <c r="H724" t="s">
        <v>41</v>
      </c>
      <c r="J724" t="s">
        <v>120</v>
      </c>
      <c r="K724" t="s">
        <v>96</v>
      </c>
      <c r="L724" t="s">
        <v>50</v>
      </c>
      <c r="M724" t="s">
        <v>97</v>
      </c>
      <c r="N724" t="s">
        <v>291</v>
      </c>
    </row>
    <row r="725" spans="1:14" ht="12.75">
      <c r="A725" t="str">
        <f>HYPERLINK("http://www.onsemi.com/PowerSolutions/product.do?id=MPSA42RLRPG","MPSA42RLRPG")</f>
        <v>MPSA42RLRPG</v>
      </c>
      <c r="B725" t="str">
        <f t="shared" si="28"/>
        <v>MPSA42/D (58.0kB)</v>
      </c>
      <c r="C725" t="s">
        <v>19</v>
      </c>
      <c r="D725" t="s">
        <v>70</v>
      </c>
      <c r="E725" t="s">
        <v>454</v>
      </c>
      <c r="F725" t="s">
        <v>135</v>
      </c>
      <c r="G725" t="s">
        <v>48</v>
      </c>
      <c r="H725" t="s">
        <v>41</v>
      </c>
      <c r="J725" t="s">
        <v>120</v>
      </c>
      <c r="K725" t="s">
        <v>96</v>
      </c>
      <c r="L725" t="s">
        <v>50</v>
      </c>
      <c r="M725" t="s">
        <v>97</v>
      </c>
      <c r="N725" t="s">
        <v>291</v>
      </c>
    </row>
    <row r="726" spans="1:14" ht="12.75">
      <c r="A726" t="str">
        <f>HYPERLINK("http://www.onsemi.com/PowerSolutions/product.do?id=MPSA42ZL1G","MPSA42ZL1G")</f>
        <v>MPSA42ZL1G</v>
      </c>
      <c r="B726" t="str">
        <f t="shared" si="28"/>
        <v>MPSA42/D (58.0kB)</v>
      </c>
      <c r="C726" t="s">
        <v>19</v>
      </c>
      <c r="D726" t="s">
        <v>70</v>
      </c>
      <c r="E726" t="s">
        <v>454</v>
      </c>
      <c r="F726" t="s">
        <v>135</v>
      </c>
      <c r="G726" t="s">
        <v>48</v>
      </c>
      <c r="H726" t="s">
        <v>41</v>
      </c>
      <c r="J726" t="s">
        <v>120</v>
      </c>
      <c r="K726" t="s">
        <v>96</v>
      </c>
      <c r="L726" t="s">
        <v>50</v>
      </c>
      <c r="M726" t="s">
        <v>97</v>
      </c>
      <c r="N726" t="s">
        <v>291</v>
      </c>
    </row>
    <row r="727" spans="1:14" ht="12.75">
      <c r="A727" t="str">
        <f>HYPERLINK("http://www.onsemi.com/PowerSolutions/product.do?id=MPSA43RLRA","MPSA43RLRA")</f>
        <v>MPSA43RLRA</v>
      </c>
      <c r="B727" t="str">
        <f t="shared" si="28"/>
        <v>MPSA42/D (58.0kB)</v>
      </c>
      <c r="C727" t="s">
        <v>69</v>
      </c>
      <c r="D727" t="s">
        <v>70</v>
      </c>
      <c r="E727" t="s">
        <v>454</v>
      </c>
      <c r="F727" t="s">
        <v>135</v>
      </c>
      <c r="G727" t="s">
        <v>33</v>
      </c>
      <c r="H727" t="s">
        <v>41</v>
      </c>
      <c r="J727" t="s">
        <v>120</v>
      </c>
      <c r="K727" t="s">
        <v>96</v>
      </c>
      <c r="L727" t="s">
        <v>50</v>
      </c>
      <c r="M727" t="s">
        <v>97</v>
      </c>
      <c r="N727" t="s">
        <v>291</v>
      </c>
    </row>
    <row r="728" spans="1:14" ht="12.75">
      <c r="A728" t="str">
        <f>HYPERLINK("http://www.onsemi.com/PowerSolutions/product.do?id=MPSA44G","MPSA44G")</f>
        <v>MPSA44G</v>
      </c>
      <c r="B728" t="str">
        <f>HYPERLINK("http://www.onsemi.com/pub/Collateral/MPSA44-D.PDF","MPSA44/D (66.0kB)")</f>
        <v>MPSA44/D (66.0kB)</v>
      </c>
      <c r="C728" t="s">
        <v>19</v>
      </c>
      <c r="D728" t="s">
        <v>70</v>
      </c>
      <c r="E728" t="s">
        <v>137</v>
      </c>
      <c r="F728" t="s">
        <v>392</v>
      </c>
      <c r="G728" t="s">
        <v>125</v>
      </c>
      <c r="H728" t="s">
        <v>120</v>
      </c>
      <c r="I728" t="s">
        <v>33</v>
      </c>
      <c r="K728" t="s">
        <v>96</v>
      </c>
      <c r="L728" t="s">
        <v>50</v>
      </c>
      <c r="M728" t="s">
        <v>97</v>
      </c>
      <c r="N728" t="s">
        <v>366</v>
      </c>
    </row>
    <row r="729" spans="1:14" ht="12.75">
      <c r="A729" t="str">
        <f>HYPERLINK("http://www.onsemi.com/PowerSolutions/product.do?id=MPSA44RL1G","MPSA44RL1G")</f>
        <v>MPSA44RL1G</v>
      </c>
      <c r="B729" t="str">
        <f>HYPERLINK("http://www.onsemi.com/pub/Collateral/MPSA44-D.PDF","MPSA44/D (66.0kB)")</f>
        <v>MPSA44/D (66.0kB)</v>
      </c>
      <c r="C729" t="s">
        <v>19</v>
      </c>
      <c r="D729" t="s">
        <v>70</v>
      </c>
      <c r="E729" t="s">
        <v>137</v>
      </c>
      <c r="F729" t="s">
        <v>392</v>
      </c>
      <c r="G729" t="s">
        <v>125</v>
      </c>
      <c r="H729" t="s">
        <v>120</v>
      </c>
      <c r="I729" t="s">
        <v>33</v>
      </c>
      <c r="K729" t="s">
        <v>96</v>
      </c>
      <c r="L729" t="s">
        <v>50</v>
      </c>
      <c r="M729" t="s">
        <v>97</v>
      </c>
      <c r="N729" t="s">
        <v>366</v>
      </c>
    </row>
    <row r="730" spans="1:14" ht="12.75">
      <c r="A730" t="str">
        <f>HYPERLINK("http://www.onsemi.com/PowerSolutions/product.do?id=MPSA44RLRAG","MPSA44RLRAG")</f>
        <v>MPSA44RLRAG</v>
      </c>
      <c r="B730" t="str">
        <f>HYPERLINK("http://www.onsemi.com/pub/Collateral/MPSA44-D.PDF","MPSA44/D (66.0kB)")</f>
        <v>MPSA44/D (66.0kB)</v>
      </c>
      <c r="C730" t="s">
        <v>19</v>
      </c>
      <c r="D730" t="s">
        <v>70</v>
      </c>
      <c r="E730" t="s">
        <v>137</v>
      </c>
      <c r="F730" t="s">
        <v>392</v>
      </c>
      <c r="G730" t="s">
        <v>125</v>
      </c>
      <c r="H730" t="s">
        <v>120</v>
      </c>
      <c r="I730" t="s">
        <v>33</v>
      </c>
      <c r="K730" t="s">
        <v>96</v>
      </c>
      <c r="L730" t="s">
        <v>50</v>
      </c>
      <c r="M730" t="s">
        <v>97</v>
      </c>
      <c r="N730" t="s">
        <v>366</v>
      </c>
    </row>
    <row r="731" spans="1:14" ht="12.75">
      <c r="A731" t="str">
        <f>HYPERLINK("http://www.onsemi.com/PowerSolutions/product.do?id=MPSA55G","MPSA55G")</f>
        <v>MPSA55G</v>
      </c>
      <c r="B731" t="str">
        <f aca="true" t="shared" si="29" ref="B731:B739">HYPERLINK("http://www.onsemi.com/pub/Collateral/MPSA05-D.PDF","MPSA05/D (89.0kB)")</f>
        <v>MPSA05/D (89.0kB)</v>
      </c>
      <c r="C731" t="s">
        <v>19</v>
      </c>
      <c r="D731" t="s">
        <v>70</v>
      </c>
      <c r="E731" t="s">
        <v>427</v>
      </c>
      <c r="F731" t="s">
        <v>63</v>
      </c>
      <c r="G731" t="s">
        <v>473</v>
      </c>
      <c r="H731" t="s">
        <v>23</v>
      </c>
      <c r="J731" t="s">
        <v>88</v>
      </c>
      <c r="K731" t="s">
        <v>96</v>
      </c>
      <c r="L731" t="s">
        <v>59</v>
      </c>
      <c r="M731" t="s">
        <v>97</v>
      </c>
      <c r="N731" t="s">
        <v>124</v>
      </c>
    </row>
    <row r="732" spans="1:14" ht="12.75">
      <c r="A732" t="str">
        <f>HYPERLINK("http://www.onsemi.com/PowerSolutions/product.do?id=MPSA55RLRAG","MPSA55RLRAG")</f>
        <v>MPSA55RLRAG</v>
      </c>
      <c r="B732" t="str">
        <f t="shared" si="29"/>
        <v>MPSA05/D (89.0kB)</v>
      </c>
      <c r="C732" t="s">
        <v>19</v>
      </c>
      <c r="D732" t="s">
        <v>70</v>
      </c>
      <c r="E732" t="s">
        <v>427</v>
      </c>
      <c r="F732" t="s">
        <v>63</v>
      </c>
      <c r="G732" t="s">
        <v>473</v>
      </c>
      <c r="H732" t="s">
        <v>23</v>
      </c>
      <c r="J732" t="s">
        <v>88</v>
      </c>
      <c r="K732" t="s">
        <v>96</v>
      </c>
      <c r="L732" t="s">
        <v>59</v>
      </c>
      <c r="M732" t="s">
        <v>97</v>
      </c>
      <c r="N732" t="s">
        <v>124</v>
      </c>
    </row>
    <row r="733" spans="1:14" ht="12.75">
      <c r="A733" t="str">
        <f>HYPERLINK("http://www.onsemi.com/PowerSolutions/product.do?id=MPSA56G","MPSA56G")</f>
        <v>MPSA56G</v>
      </c>
      <c r="B733" t="str">
        <f t="shared" si="29"/>
        <v>MPSA05/D (89.0kB)</v>
      </c>
      <c r="C733" t="s">
        <v>19</v>
      </c>
      <c r="D733" t="s">
        <v>70</v>
      </c>
      <c r="E733" t="s">
        <v>427</v>
      </c>
      <c r="F733" t="s">
        <v>135</v>
      </c>
      <c r="G733" t="s">
        <v>111</v>
      </c>
      <c r="H733" t="s">
        <v>23</v>
      </c>
      <c r="J733" t="s">
        <v>23</v>
      </c>
      <c r="K733" t="s">
        <v>96</v>
      </c>
      <c r="L733" t="s">
        <v>59</v>
      </c>
      <c r="M733" t="s">
        <v>97</v>
      </c>
      <c r="N733" t="s">
        <v>100</v>
      </c>
    </row>
    <row r="734" spans="1:14" ht="12.75">
      <c r="A734" t="str">
        <f>HYPERLINK("http://www.onsemi.com/PowerSolutions/product.do?id=MPSA56RLRA","MPSA56RLRA")</f>
        <v>MPSA56RLRA</v>
      </c>
      <c r="B734" t="str">
        <f t="shared" si="29"/>
        <v>MPSA05/D (89.0kB)</v>
      </c>
      <c r="C734" t="s">
        <v>69</v>
      </c>
      <c r="D734" t="s">
        <v>70</v>
      </c>
      <c r="E734" t="s">
        <v>427</v>
      </c>
      <c r="F734" t="s">
        <v>135</v>
      </c>
      <c r="G734" t="s">
        <v>111</v>
      </c>
      <c r="H734" t="s">
        <v>23</v>
      </c>
      <c r="J734" t="s">
        <v>23</v>
      </c>
      <c r="K734" t="s">
        <v>96</v>
      </c>
      <c r="L734" t="s">
        <v>59</v>
      </c>
      <c r="M734" t="s">
        <v>97</v>
      </c>
      <c r="N734" t="s">
        <v>100</v>
      </c>
    </row>
    <row r="735" spans="1:14" ht="12.75">
      <c r="A735" t="str">
        <f>HYPERLINK("http://www.onsemi.com/PowerSolutions/product.do?id=MPSA56RLRAG","MPSA56RLRAG")</f>
        <v>MPSA56RLRAG</v>
      </c>
      <c r="B735" t="str">
        <f t="shared" si="29"/>
        <v>MPSA05/D (89.0kB)</v>
      </c>
      <c r="C735" t="s">
        <v>19</v>
      </c>
      <c r="D735" t="s">
        <v>70</v>
      </c>
      <c r="E735" t="s">
        <v>427</v>
      </c>
      <c r="F735" t="s">
        <v>135</v>
      </c>
      <c r="G735" t="s">
        <v>111</v>
      </c>
      <c r="H735" t="s">
        <v>23</v>
      </c>
      <c r="J735" t="s">
        <v>23</v>
      </c>
      <c r="K735" t="s">
        <v>96</v>
      </c>
      <c r="L735" t="s">
        <v>59</v>
      </c>
      <c r="M735" t="s">
        <v>97</v>
      </c>
      <c r="N735" t="s">
        <v>474</v>
      </c>
    </row>
    <row r="736" spans="1:14" ht="12.75">
      <c r="A736" t="str">
        <f>HYPERLINK("http://www.onsemi.com/PowerSolutions/product.do?id=MPSA56RLRMG","MPSA56RLRMG")</f>
        <v>MPSA56RLRMG</v>
      </c>
      <c r="B736" t="str">
        <f t="shared" si="29"/>
        <v>MPSA05/D (89.0kB)</v>
      </c>
      <c r="C736" t="s">
        <v>19</v>
      </c>
      <c r="D736" t="s">
        <v>70</v>
      </c>
      <c r="E736" t="s">
        <v>427</v>
      </c>
      <c r="F736" t="s">
        <v>135</v>
      </c>
      <c r="G736" t="s">
        <v>111</v>
      </c>
      <c r="H736" t="s">
        <v>23</v>
      </c>
      <c r="J736" t="s">
        <v>23</v>
      </c>
      <c r="K736" t="s">
        <v>96</v>
      </c>
      <c r="L736" t="s">
        <v>59</v>
      </c>
      <c r="M736" t="s">
        <v>97</v>
      </c>
      <c r="N736" t="s">
        <v>100</v>
      </c>
    </row>
    <row r="737" spans="1:14" ht="12.75">
      <c r="A737" t="str">
        <f>HYPERLINK("http://www.onsemi.com/PowerSolutions/product.do?id=MPSA56RLRP","MPSA56RLRP")</f>
        <v>MPSA56RLRP</v>
      </c>
      <c r="B737" t="str">
        <f t="shared" si="29"/>
        <v>MPSA05/D (89.0kB)</v>
      </c>
      <c r="C737" t="s">
        <v>69</v>
      </c>
      <c r="D737" t="s">
        <v>70</v>
      </c>
      <c r="E737" t="s">
        <v>427</v>
      </c>
      <c r="F737" t="s">
        <v>135</v>
      </c>
      <c r="G737" t="s">
        <v>111</v>
      </c>
      <c r="H737" t="s">
        <v>23</v>
      </c>
      <c r="J737" t="s">
        <v>23</v>
      </c>
      <c r="K737" t="s">
        <v>96</v>
      </c>
      <c r="L737" t="s">
        <v>59</v>
      </c>
      <c r="M737" t="s">
        <v>97</v>
      </c>
      <c r="N737" t="s">
        <v>100</v>
      </c>
    </row>
    <row r="738" spans="1:14" ht="12.75">
      <c r="A738" t="str">
        <f>HYPERLINK("http://www.onsemi.com/PowerSolutions/product.do?id=MPSA56RLRPG","MPSA56RLRPG")</f>
        <v>MPSA56RLRPG</v>
      </c>
      <c r="B738" t="str">
        <f t="shared" si="29"/>
        <v>MPSA05/D (89.0kB)</v>
      </c>
      <c r="C738" t="s">
        <v>19</v>
      </c>
      <c r="D738" t="s">
        <v>70</v>
      </c>
      <c r="E738" t="s">
        <v>427</v>
      </c>
      <c r="F738" t="s">
        <v>135</v>
      </c>
      <c r="G738" t="s">
        <v>111</v>
      </c>
      <c r="H738" t="s">
        <v>23</v>
      </c>
      <c r="J738" t="s">
        <v>23</v>
      </c>
      <c r="K738" t="s">
        <v>96</v>
      </c>
      <c r="L738" t="s">
        <v>59</v>
      </c>
      <c r="M738" t="s">
        <v>97</v>
      </c>
      <c r="N738" t="s">
        <v>100</v>
      </c>
    </row>
    <row r="739" spans="1:14" ht="12.75">
      <c r="A739" t="str">
        <f>HYPERLINK("http://www.onsemi.com/PowerSolutions/product.do?id=MPSA56ZL1G","MPSA56ZL1G")</f>
        <v>MPSA56ZL1G</v>
      </c>
      <c r="B739" t="str">
        <f t="shared" si="29"/>
        <v>MPSA05/D (89.0kB)</v>
      </c>
      <c r="C739" t="s">
        <v>19</v>
      </c>
      <c r="D739" t="s">
        <v>70</v>
      </c>
      <c r="E739" t="s">
        <v>427</v>
      </c>
      <c r="F739" t="s">
        <v>135</v>
      </c>
      <c r="G739" t="s">
        <v>111</v>
      </c>
      <c r="H739" t="s">
        <v>23</v>
      </c>
      <c r="J739" t="s">
        <v>23</v>
      </c>
      <c r="K739" t="s">
        <v>96</v>
      </c>
      <c r="L739" t="s">
        <v>59</v>
      </c>
      <c r="M739" t="s">
        <v>97</v>
      </c>
      <c r="N739" t="s">
        <v>100</v>
      </c>
    </row>
    <row r="740" spans="1:14" ht="12.75">
      <c r="A740" t="str">
        <f>HYPERLINK("http://www.onsemi.com/PowerSolutions/product.do?id=MPSA92G","MPSA92G")</f>
        <v>MPSA92G</v>
      </c>
      <c r="B740" t="str">
        <f aca="true" t="shared" si="30" ref="B740:B746">HYPERLINK("http://www.onsemi.com/pub/Collateral/MPSA92-D.PDF","MPSA92/D (58.0kB)")</f>
        <v>MPSA92/D (58.0kB)</v>
      </c>
      <c r="C740" t="s">
        <v>19</v>
      </c>
      <c r="D740" t="s">
        <v>70</v>
      </c>
      <c r="E740" t="s">
        <v>441</v>
      </c>
      <c r="F740" t="s">
        <v>119</v>
      </c>
      <c r="G740" t="s">
        <v>48</v>
      </c>
      <c r="H740" t="s">
        <v>102</v>
      </c>
      <c r="J740" t="s">
        <v>120</v>
      </c>
      <c r="K740" t="s">
        <v>96</v>
      </c>
      <c r="L740" t="s">
        <v>59</v>
      </c>
      <c r="M740" t="s">
        <v>97</v>
      </c>
      <c r="N740" t="s">
        <v>291</v>
      </c>
    </row>
    <row r="741" spans="1:14" ht="12.75">
      <c r="A741" t="str">
        <f>HYPERLINK("http://www.onsemi.com/PowerSolutions/product.do?id=MPSA92RL1G","MPSA92RL1G")</f>
        <v>MPSA92RL1G</v>
      </c>
      <c r="B741" t="str">
        <f t="shared" si="30"/>
        <v>MPSA92/D (58.0kB)</v>
      </c>
      <c r="C741" t="s">
        <v>19</v>
      </c>
      <c r="D741" t="s">
        <v>70</v>
      </c>
      <c r="E741" t="s">
        <v>441</v>
      </c>
      <c r="F741" t="s">
        <v>119</v>
      </c>
      <c r="G741" t="s">
        <v>48</v>
      </c>
      <c r="H741" t="s">
        <v>102</v>
      </c>
      <c r="J741" t="s">
        <v>120</v>
      </c>
      <c r="K741" t="s">
        <v>96</v>
      </c>
      <c r="L741" t="s">
        <v>59</v>
      </c>
      <c r="M741" t="s">
        <v>97</v>
      </c>
      <c r="N741" t="s">
        <v>291</v>
      </c>
    </row>
    <row r="742" spans="1:14" ht="12.75">
      <c r="A742" t="str">
        <f>HYPERLINK("http://www.onsemi.com/PowerSolutions/product.do?id=MPSA92RLRA","MPSA92RLRA")</f>
        <v>MPSA92RLRA</v>
      </c>
      <c r="B742" t="str">
        <f t="shared" si="30"/>
        <v>MPSA92/D (58.0kB)</v>
      </c>
      <c r="C742" t="s">
        <v>69</v>
      </c>
      <c r="D742" t="s">
        <v>70</v>
      </c>
      <c r="E742" t="s">
        <v>441</v>
      </c>
      <c r="F742" t="s">
        <v>119</v>
      </c>
      <c r="G742" t="s">
        <v>48</v>
      </c>
      <c r="H742" t="s">
        <v>102</v>
      </c>
      <c r="J742" t="s">
        <v>120</v>
      </c>
      <c r="K742" t="s">
        <v>96</v>
      </c>
      <c r="L742" t="s">
        <v>59</v>
      </c>
      <c r="M742" t="s">
        <v>97</v>
      </c>
      <c r="N742" t="s">
        <v>291</v>
      </c>
    </row>
    <row r="743" spans="1:14" ht="12.75">
      <c r="A743" t="str">
        <f>HYPERLINK("http://www.onsemi.com/PowerSolutions/product.do?id=MPSA92RLRAG","MPSA92RLRAG")</f>
        <v>MPSA92RLRAG</v>
      </c>
      <c r="B743" t="str">
        <f t="shared" si="30"/>
        <v>MPSA92/D (58.0kB)</v>
      </c>
      <c r="C743" t="s">
        <v>19</v>
      </c>
      <c r="D743" t="s">
        <v>70</v>
      </c>
      <c r="E743" t="s">
        <v>441</v>
      </c>
      <c r="F743" t="s">
        <v>119</v>
      </c>
      <c r="G743" t="s">
        <v>48</v>
      </c>
      <c r="H743" t="s">
        <v>102</v>
      </c>
      <c r="J743" t="s">
        <v>120</v>
      </c>
      <c r="K743" t="s">
        <v>96</v>
      </c>
      <c r="L743" t="s">
        <v>59</v>
      </c>
      <c r="M743" t="s">
        <v>97</v>
      </c>
      <c r="N743" t="s">
        <v>291</v>
      </c>
    </row>
    <row r="744" spans="1:14" ht="12.75">
      <c r="A744" t="str">
        <f>HYPERLINK("http://www.onsemi.com/PowerSolutions/product.do?id=MPSA92RLRMG","MPSA92RLRMG")</f>
        <v>MPSA92RLRMG</v>
      </c>
      <c r="B744" t="str">
        <f t="shared" si="30"/>
        <v>MPSA92/D (58.0kB)</v>
      </c>
      <c r="C744" t="s">
        <v>19</v>
      </c>
      <c r="D744" t="s">
        <v>70</v>
      </c>
      <c r="E744" t="s">
        <v>441</v>
      </c>
      <c r="F744" t="s">
        <v>119</v>
      </c>
      <c r="G744" t="s">
        <v>48</v>
      </c>
      <c r="H744" t="s">
        <v>102</v>
      </c>
      <c r="J744" t="s">
        <v>120</v>
      </c>
      <c r="K744" t="s">
        <v>96</v>
      </c>
      <c r="L744" t="s">
        <v>59</v>
      </c>
      <c r="M744" t="s">
        <v>97</v>
      </c>
      <c r="N744" t="s">
        <v>291</v>
      </c>
    </row>
    <row r="745" spans="1:14" ht="12.75">
      <c r="A745" t="str">
        <f>HYPERLINK("http://www.onsemi.com/PowerSolutions/product.do?id=MPSA92RLRPG","MPSA92RLRPG")</f>
        <v>MPSA92RLRPG</v>
      </c>
      <c r="B745" t="str">
        <f t="shared" si="30"/>
        <v>MPSA92/D (58.0kB)</v>
      </c>
      <c r="C745" t="s">
        <v>19</v>
      </c>
      <c r="D745" t="s">
        <v>70</v>
      </c>
      <c r="E745" t="s">
        <v>441</v>
      </c>
      <c r="F745" t="s">
        <v>119</v>
      </c>
      <c r="G745" t="s">
        <v>48</v>
      </c>
      <c r="H745" t="s">
        <v>102</v>
      </c>
      <c r="J745" t="s">
        <v>120</v>
      </c>
      <c r="K745" t="s">
        <v>96</v>
      </c>
      <c r="L745" t="s">
        <v>59</v>
      </c>
      <c r="M745" t="s">
        <v>97</v>
      </c>
      <c r="N745" t="s">
        <v>291</v>
      </c>
    </row>
    <row r="746" spans="1:14" ht="12.75">
      <c r="A746" t="str">
        <f>HYPERLINK("http://www.onsemi.com/PowerSolutions/product.do?id=MPSA92ZL1G","MPSA92ZL1G")</f>
        <v>MPSA92ZL1G</v>
      </c>
      <c r="B746" t="str">
        <f t="shared" si="30"/>
        <v>MPSA92/D (58.0kB)</v>
      </c>
      <c r="C746" t="s">
        <v>19</v>
      </c>
      <c r="D746" t="s">
        <v>70</v>
      </c>
      <c r="E746" t="s">
        <v>441</v>
      </c>
      <c r="F746" t="s">
        <v>119</v>
      </c>
      <c r="G746" t="s">
        <v>48</v>
      </c>
      <c r="H746" t="s">
        <v>102</v>
      </c>
      <c r="J746" t="s">
        <v>120</v>
      </c>
      <c r="K746" t="s">
        <v>96</v>
      </c>
      <c r="L746" t="s">
        <v>59</v>
      </c>
      <c r="M746" t="s">
        <v>97</v>
      </c>
      <c r="N746" t="s">
        <v>291</v>
      </c>
    </row>
    <row r="747" spans="1:14" ht="12.75">
      <c r="A747" t="str">
        <f>HYPERLINK("http://www.onsemi.com/PowerSolutions/product.do?id=MPSW01AG","MPSW01AG")</f>
        <v>MPSW01AG</v>
      </c>
      <c r="B747" t="str">
        <f>HYPERLINK("http://www.onsemi.com/pub/Collateral/MPSW01-D.PDF","MPSW01/D (58.0kB)")</f>
        <v>MPSW01/D (58.0kB)</v>
      </c>
      <c r="C747" t="s">
        <v>19</v>
      </c>
      <c r="D747" t="s">
        <v>70</v>
      </c>
      <c r="E747" t="s">
        <v>463</v>
      </c>
      <c r="F747" t="s">
        <v>31</v>
      </c>
      <c r="G747" t="s">
        <v>41</v>
      </c>
      <c r="H747" t="s">
        <v>120</v>
      </c>
      <c r="J747" t="s">
        <v>120</v>
      </c>
      <c r="K747" t="s">
        <v>75</v>
      </c>
      <c r="L747" t="s">
        <v>50</v>
      </c>
      <c r="M747" t="s">
        <v>177</v>
      </c>
      <c r="N747" t="s">
        <v>178</v>
      </c>
    </row>
    <row r="748" spans="1:14" ht="12.75">
      <c r="A748" t="str">
        <f>HYPERLINK("http://www.onsemi.com/PowerSolutions/product.do?id=MPSW01ARLRAG","MPSW01ARLRAG")</f>
        <v>MPSW01ARLRAG</v>
      </c>
      <c r="B748" t="str">
        <f>HYPERLINK("http://www.onsemi.com/pub/Collateral/MPSW01-D.PDF","MPSW01/D (58.0kB)")</f>
        <v>MPSW01/D (58.0kB)</v>
      </c>
      <c r="C748" t="s">
        <v>19</v>
      </c>
      <c r="D748" t="s">
        <v>70</v>
      </c>
      <c r="E748" t="s">
        <v>463</v>
      </c>
      <c r="F748" t="s">
        <v>31</v>
      </c>
      <c r="G748" t="s">
        <v>41</v>
      </c>
      <c r="H748" t="s">
        <v>120</v>
      </c>
      <c r="J748" t="s">
        <v>120</v>
      </c>
      <c r="K748" t="s">
        <v>75</v>
      </c>
      <c r="L748" t="s">
        <v>50</v>
      </c>
      <c r="M748" t="s">
        <v>177</v>
      </c>
      <c r="N748" t="s">
        <v>178</v>
      </c>
    </row>
    <row r="749" spans="1:14" ht="12.75">
      <c r="A749" t="str">
        <f>HYPERLINK("http://www.onsemi.com/PowerSolutions/product.do?id=MPSW01ARLRPG","MPSW01ARLRPG")</f>
        <v>MPSW01ARLRPG</v>
      </c>
      <c r="B749" t="str">
        <f>HYPERLINK("http://www.onsemi.com/pub/Collateral/MPSW01-D.PDF","MPSW01/D (58.0kB)")</f>
        <v>MPSW01/D (58.0kB)</v>
      </c>
      <c r="C749" t="s">
        <v>19</v>
      </c>
      <c r="D749" t="s">
        <v>70</v>
      </c>
      <c r="E749" t="s">
        <v>463</v>
      </c>
      <c r="F749" t="s">
        <v>31</v>
      </c>
      <c r="G749" t="s">
        <v>41</v>
      </c>
      <c r="H749" t="s">
        <v>120</v>
      </c>
      <c r="J749" t="s">
        <v>120</v>
      </c>
      <c r="K749" t="s">
        <v>75</v>
      </c>
      <c r="L749" t="s">
        <v>50</v>
      </c>
      <c r="M749" t="s">
        <v>177</v>
      </c>
      <c r="N749" t="s">
        <v>178</v>
      </c>
    </row>
    <row r="750" spans="1:14" ht="12.75">
      <c r="A750" t="str">
        <f>HYPERLINK("http://www.onsemi.com/PowerSolutions/product.do?id=MPSW01G","MPSW01G")</f>
        <v>MPSW01G</v>
      </c>
      <c r="B750" t="str">
        <f>HYPERLINK("http://www.onsemi.com/pub/Collateral/MPSW01-D.PDF","MPSW01/D (58.0kB)")</f>
        <v>MPSW01/D (58.0kB)</v>
      </c>
      <c r="C750" t="s">
        <v>19</v>
      </c>
      <c r="D750" t="s">
        <v>70</v>
      </c>
      <c r="E750" t="s">
        <v>475</v>
      </c>
      <c r="F750" t="s">
        <v>31</v>
      </c>
      <c r="G750" t="s">
        <v>86</v>
      </c>
      <c r="H750" t="s">
        <v>120</v>
      </c>
      <c r="J750" t="s">
        <v>120</v>
      </c>
      <c r="K750" t="s">
        <v>75</v>
      </c>
      <c r="L750" t="s">
        <v>50</v>
      </c>
      <c r="M750" t="s">
        <v>177</v>
      </c>
      <c r="N750" t="s">
        <v>178</v>
      </c>
    </row>
    <row r="751" spans="1:14" ht="12.75">
      <c r="A751" t="str">
        <f>HYPERLINK("http://www.onsemi.com/PowerSolutions/product.do?id=MPSW05G","MPSW05G")</f>
        <v>MPSW05G</v>
      </c>
      <c r="B751" t="str">
        <f>HYPERLINK("http://www.onsemi.com/pub/Collateral/MPSW05-D.PDF","MPSW05/D (60.0kB)")</f>
        <v>MPSW05/D (60.0kB)</v>
      </c>
      <c r="C751" t="s">
        <v>19</v>
      </c>
      <c r="D751" t="s">
        <v>70</v>
      </c>
      <c r="E751" t="s">
        <v>476</v>
      </c>
      <c r="F751" t="s">
        <v>135</v>
      </c>
      <c r="G751" t="s">
        <v>73</v>
      </c>
      <c r="H751" t="s">
        <v>73</v>
      </c>
      <c r="J751" t="s">
        <v>120</v>
      </c>
      <c r="K751" t="s">
        <v>31</v>
      </c>
      <c r="L751" t="s">
        <v>50</v>
      </c>
      <c r="M751" t="s">
        <v>177</v>
      </c>
      <c r="N751" t="s">
        <v>178</v>
      </c>
    </row>
    <row r="752" spans="1:14" ht="12.75">
      <c r="A752" t="str">
        <f>HYPERLINK("http://www.onsemi.com/PowerSolutions/product.do?id=MPSW06G","MPSW06G")</f>
        <v>MPSW06G</v>
      </c>
      <c r="B752" t="str">
        <f>HYPERLINK("http://www.onsemi.com/pub/Collateral/MPSW05-D.PDF","MPSW05/D (60.0kB)")</f>
        <v>MPSW05/D (60.0kB)</v>
      </c>
      <c r="C752" t="s">
        <v>19</v>
      </c>
      <c r="D752" t="s">
        <v>70</v>
      </c>
      <c r="E752" t="s">
        <v>476</v>
      </c>
      <c r="F752" t="s">
        <v>135</v>
      </c>
      <c r="G752" t="s">
        <v>111</v>
      </c>
      <c r="H752" t="s">
        <v>73</v>
      </c>
      <c r="J752" t="s">
        <v>120</v>
      </c>
      <c r="K752" t="s">
        <v>31</v>
      </c>
      <c r="L752" t="s">
        <v>50</v>
      </c>
      <c r="M752" t="s">
        <v>177</v>
      </c>
      <c r="N752" t="s">
        <v>178</v>
      </c>
    </row>
    <row r="753" spans="1:14" ht="12.75">
      <c r="A753" t="str">
        <f>HYPERLINK("http://www.onsemi.com/PowerSolutions/product.do?id=MPSW06RLRAG","MPSW06RLRAG")</f>
        <v>MPSW06RLRAG</v>
      </c>
      <c r="B753" t="str">
        <f>HYPERLINK("http://www.onsemi.com/pub/Collateral/MPSW05-D.PDF","MPSW05/D (60.0kB)")</f>
        <v>MPSW05/D (60.0kB)</v>
      </c>
      <c r="C753" t="s">
        <v>19</v>
      </c>
      <c r="D753" t="s">
        <v>70</v>
      </c>
      <c r="E753" t="s">
        <v>476</v>
      </c>
      <c r="F753" t="s">
        <v>135</v>
      </c>
      <c r="G753" t="s">
        <v>111</v>
      </c>
      <c r="H753" t="s">
        <v>73</v>
      </c>
      <c r="J753" t="s">
        <v>120</v>
      </c>
      <c r="K753" t="s">
        <v>31</v>
      </c>
      <c r="L753" t="s">
        <v>50</v>
      </c>
      <c r="M753" t="s">
        <v>177</v>
      </c>
      <c r="N753" t="s">
        <v>178</v>
      </c>
    </row>
    <row r="754" spans="1:14" ht="12.75">
      <c r="A754" t="str">
        <f>HYPERLINK("http://www.onsemi.com/PowerSolutions/product.do?id=MPSW42G","MPSW42G")</f>
        <v>MPSW42G</v>
      </c>
      <c r="B754" t="str">
        <f>HYPERLINK("http://www.onsemi.com/pub/Collateral/MPSW42-D.PDF","MPSW42/D (55.0kB)")</f>
        <v>MPSW42/D (55.0kB)</v>
      </c>
      <c r="C754" t="s">
        <v>19</v>
      </c>
      <c r="D754" t="s">
        <v>70</v>
      </c>
      <c r="E754" t="s">
        <v>477</v>
      </c>
      <c r="F754" t="s">
        <v>135</v>
      </c>
      <c r="G754" t="s">
        <v>48</v>
      </c>
      <c r="H754" t="s">
        <v>41</v>
      </c>
      <c r="J754" t="s">
        <v>120</v>
      </c>
      <c r="K754" t="s">
        <v>31</v>
      </c>
      <c r="L754" t="s">
        <v>50</v>
      </c>
      <c r="M754" t="s">
        <v>177</v>
      </c>
      <c r="N754" t="s">
        <v>178</v>
      </c>
    </row>
    <row r="755" spans="1:14" ht="12.75">
      <c r="A755" t="str">
        <f>HYPERLINK("http://www.onsemi.com/PowerSolutions/product.do?id=MPSW42RLRAG","MPSW42RLRAG")</f>
        <v>MPSW42RLRAG</v>
      </c>
      <c r="B755" t="str">
        <f>HYPERLINK("http://www.onsemi.com/pub/Collateral/MPSW42-D.PDF","MPSW42/D (55.0kB)")</f>
        <v>MPSW42/D (55.0kB)</v>
      </c>
      <c r="C755" t="s">
        <v>19</v>
      </c>
      <c r="D755" t="s">
        <v>70</v>
      </c>
      <c r="E755" t="s">
        <v>477</v>
      </c>
      <c r="F755" t="s">
        <v>135</v>
      </c>
      <c r="G755" t="s">
        <v>48</v>
      </c>
      <c r="H755" t="s">
        <v>41</v>
      </c>
      <c r="J755" t="s">
        <v>120</v>
      </c>
      <c r="K755" t="s">
        <v>31</v>
      </c>
      <c r="L755" t="s">
        <v>50</v>
      </c>
      <c r="M755" t="s">
        <v>177</v>
      </c>
      <c r="N755" t="s">
        <v>178</v>
      </c>
    </row>
    <row r="756" spans="1:14" ht="12.75">
      <c r="A756" t="str">
        <f>HYPERLINK("http://www.onsemi.com/PowerSolutions/product.do?id=MPSW51AG","MPSW51AG")</f>
        <v>MPSW51AG</v>
      </c>
      <c r="B756" t="str">
        <f>HYPERLINK("http://www.onsemi.com/pub/Collateral/MPSW51-D.PDF","MPSW51/D (94.0kB)")</f>
        <v>MPSW51/D (94.0kB)</v>
      </c>
      <c r="C756" t="s">
        <v>19</v>
      </c>
      <c r="D756" t="s">
        <v>70</v>
      </c>
      <c r="E756" t="s">
        <v>478</v>
      </c>
      <c r="F756" t="s">
        <v>31</v>
      </c>
      <c r="G756" t="s">
        <v>41</v>
      </c>
      <c r="H756" t="s">
        <v>120</v>
      </c>
      <c r="J756" t="s">
        <v>120</v>
      </c>
      <c r="K756" t="s">
        <v>31</v>
      </c>
      <c r="L756" t="s">
        <v>59</v>
      </c>
      <c r="M756" t="s">
        <v>177</v>
      </c>
      <c r="N756" t="s">
        <v>178</v>
      </c>
    </row>
    <row r="757" spans="1:14" ht="12.75">
      <c r="A757" t="str">
        <f>HYPERLINK("http://www.onsemi.com/PowerSolutions/product.do?id=MPSW51ARLRAG","MPSW51ARLRAG")</f>
        <v>MPSW51ARLRAG</v>
      </c>
      <c r="B757" t="str">
        <f>HYPERLINK("http://www.onsemi.com/pub/Collateral/MPSW51-D.PDF","MPSW51/D (94.0kB)")</f>
        <v>MPSW51/D (94.0kB)</v>
      </c>
      <c r="C757" t="s">
        <v>19</v>
      </c>
      <c r="D757" t="s">
        <v>70</v>
      </c>
      <c r="E757" t="s">
        <v>478</v>
      </c>
      <c r="F757" t="s">
        <v>31</v>
      </c>
      <c r="G757" t="s">
        <v>41</v>
      </c>
      <c r="H757" t="s">
        <v>120</v>
      </c>
      <c r="J757" t="s">
        <v>120</v>
      </c>
      <c r="K757" t="s">
        <v>31</v>
      </c>
      <c r="L757" t="s">
        <v>59</v>
      </c>
      <c r="M757" t="s">
        <v>177</v>
      </c>
      <c r="N757" t="s">
        <v>178</v>
      </c>
    </row>
    <row r="758" spans="1:14" ht="12.75">
      <c r="A758" t="str">
        <f>HYPERLINK("http://www.onsemi.com/PowerSolutions/product.do?id=MPSW51ARLRPG","MPSW51ARLRPG")</f>
        <v>MPSW51ARLRPG</v>
      </c>
      <c r="B758" t="str">
        <f>HYPERLINK("http://www.onsemi.com/pub/Collateral/MPSW51-D.PDF","MPSW51/D (94.0kB)")</f>
        <v>MPSW51/D (94.0kB)</v>
      </c>
      <c r="C758" t="s">
        <v>19</v>
      </c>
      <c r="D758" t="s">
        <v>70</v>
      </c>
      <c r="E758" t="s">
        <v>478</v>
      </c>
      <c r="F758" t="s">
        <v>31</v>
      </c>
      <c r="G758" t="s">
        <v>41</v>
      </c>
      <c r="H758" t="s">
        <v>120</v>
      </c>
      <c r="J758" t="s">
        <v>120</v>
      </c>
      <c r="K758" t="s">
        <v>31</v>
      </c>
      <c r="L758" t="s">
        <v>59</v>
      </c>
      <c r="M758" t="s">
        <v>177</v>
      </c>
      <c r="N758" t="s">
        <v>178</v>
      </c>
    </row>
    <row r="759" spans="1:14" ht="12.75">
      <c r="A759" t="str">
        <f>HYPERLINK("http://www.onsemi.com/PowerSolutions/product.do?id=MPSW51G","MPSW51G")</f>
        <v>MPSW51G</v>
      </c>
      <c r="B759" t="str">
        <f>HYPERLINK("http://www.onsemi.com/pub/Collateral/MPSW51-D.PDF","MPSW51/D (94.0kB)")</f>
        <v>MPSW51/D (94.0kB)</v>
      </c>
      <c r="C759" t="s">
        <v>19</v>
      </c>
      <c r="D759" t="s">
        <v>70</v>
      </c>
      <c r="E759" t="s">
        <v>478</v>
      </c>
      <c r="F759" t="s">
        <v>31</v>
      </c>
      <c r="G759" t="s">
        <v>86</v>
      </c>
      <c r="H759" t="s">
        <v>120</v>
      </c>
      <c r="J759" t="s">
        <v>120</v>
      </c>
      <c r="K759" t="s">
        <v>31</v>
      </c>
      <c r="L759" t="s">
        <v>59</v>
      </c>
      <c r="M759" t="s">
        <v>177</v>
      </c>
      <c r="N759" t="s">
        <v>178</v>
      </c>
    </row>
    <row r="760" spans="1:14" ht="12.75">
      <c r="A760" t="str">
        <f>HYPERLINK("http://www.onsemi.com/PowerSolutions/product.do?id=MPSW55G","MPSW55G")</f>
        <v>MPSW55G</v>
      </c>
      <c r="B760" t="str">
        <f>HYPERLINK("http://www.onsemi.com/pub/Collateral/MPSW55-D.PDF","MPSW55/D (97.0kB)")</f>
        <v>MPSW55/D (97.0kB)</v>
      </c>
      <c r="C760" t="s">
        <v>19</v>
      </c>
      <c r="D760" t="s">
        <v>70</v>
      </c>
      <c r="E760" t="s">
        <v>476</v>
      </c>
      <c r="F760" t="s">
        <v>135</v>
      </c>
      <c r="G760" t="s">
        <v>73</v>
      </c>
      <c r="H760" t="s">
        <v>120</v>
      </c>
      <c r="J760" t="s">
        <v>120</v>
      </c>
      <c r="K760" t="s">
        <v>31</v>
      </c>
      <c r="L760" t="s">
        <v>59</v>
      </c>
      <c r="M760" t="s">
        <v>177</v>
      </c>
      <c r="N760" t="s">
        <v>178</v>
      </c>
    </row>
    <row r="761" spans="1:14" ht="12.75">
      <c r="A761" t="str">
        <f>HYPERLINK("http://www.onsemi.com/PowerSolutions/product.do?id=MPSW56RLRAG","MPSW56RLRAG")</f>
        <v>MPSW56RLRAG</v>
      </c>
      <c r="B761" t="str">
        <f>HYPERLINK("http://www.onsemi.com/pub/Collateral/MPSW55-D.PDF","MPSW55/D (97.0kB)")</f>
        <v>MPSW55/D (97.0kB)</v>
      </c>
      <c r="C761" t="s">
        <v>19</v>
      </c>
      <c r="D761" t="s">
        <v>70</v>
      </c>
      <c r="E761" t="s">
        <v>476</v>
      </c>
      <c r="F761" t="s">
        <v>135</v>
      </c>
      <c r="G761" t="s">
        <v>111</v>
      </c>
      <c r="H761" t="s">
        <v>120</v>
      </c>
      <c r="J761" t="s">
        <v>120</v>
      </c>
      <c r="K761" t="s">
        <v>31</v>
      </c>
      <c r="L761" t="s">
        <v>59</v>
      </c>
      <c r="M761" t="s">
        <v>177</v>
      </c>
      <c r="N761" t="s">
        <v>178</v>
      </c>
    </row>
    <row r="762" spans="1:14" ht="12.75">
      <c r="A762" t="str">
        <f>HYPERLINK("http://www.onsemi.com/PowerSolutions/product.do?id=MPSW56RLRPG","MPSW56RLRPG")</f>
        <v>MPSW56RLRPG</v>
      </c>
      <c r="B762" t="str">
        <f>HYPERLINK("http://www.onsemi.com/pub/Collateral/MPSW55-D.PDF","MPSW55/D (97.0kB)")</f>
        <v>MPSW55/D (97.0kB)</v>
      </c>
      <c r="C762" t="s">
        <v>19</v>
      </c>
      <c r="D762" t="s">
        <v>70</v>
      </c>
      <c r="E762" t="s">
        <v>476</v>
      </c>
      <c r="F762" t="s">
        <v>135</v>
      </c>
      <c r="G762" t="s">
        <v>111</v>
      </c>
      <c r="H762" t="s">
        <v>120</v>
      </c>
      <c r="J762" t="s">
        <v>120</v>
      </c>
      <c r="K762" t="s">
        <v>31</v>
      </c>
      <c r="L762" t="s">
        <v>59</v>
      </c>
      <c r="M762" t="s">
        <v>177</v>
      </c>
      <c r="N762" t="s">
        <v>178</v>
      </c>
    </row>
    <row r="763" spans="1:14" ht="12.75">
      <c r="A763" t="str">
        <f>HYPERLINK("http://www.onsemi.com/PowerSolutions/product.do?id=MPSW92RLRAG","MPSW92RLRAG")</f>
        <v>MPSW92RLRAG</v>
      </c>
      <c r="B763" t="str">
        <f>HYPERLINK("http://www.onsemi.com/pub/Collateral/MPSW92-D.PDF","MPSW92/D (98.0kB)")</f>
        <v>MPSW92/D (98.0kB)</v>
      </c>
      <c r="C763" t="s">
        <v>19</v>
      </c>
      <c r="D763" t="s">
        <v>70</v>
      </c>
      <c r="E763" t="s">
        <v>441</v>
      </c>
      <c r="F763" t="s">
        <v>135</v>
      </c>
      <c r="G763" t="s">
        <v>48</v>
      </c>
      <c r="H763" t="s">
        <v>102</v>
      </c>
      <c r="J763" t="s">
        <v>120</v>
      </c>
      <c r="K763" t="s">
        <v>31</v>
      </c>
      <c r="L763" t="s">
        <v>59</v>
      </c>
      <c r="M763" t="s">
        <v>177</v>
      </c>
      <c r="N763" t="s">
        <v>178</v>
      </c>
    </row>
    <row r="764" spans="1:14" ht="12.75">
      <c r="A764" t="str">
        <f>HYPERLINK("http://www.onsemi.com/PowerSolutions/product.do?id=MSA1162GT1","MSA1162GT1")</f>
        <v>MSA1162GT1</v>
      </c>
      <c r="B764" t="str">
        <f>HYPERLINK("http://www.onsemi.com/pub/Collateral/MSA1162GT1-D.PDF","MSA1162GT1/D (41.0kB)")</f>
        <v>MSA1162GT1/D (41.0kB)</v>
      </c>
      <c r="C764" t="s">
        <v>69</v>
      </c>
      <c r="D764" t="s">
        <v>70</v>
      </c>
      <c r="E764" t="s">
        <v>479</v>
      </c>
      <c r="F764" t="s">
        <v>63</v>
      </c>
      <c r="G764" t="s">
        <v>120</v>
      </c>
      <c r="H764" t="s">
        <v>33</v>
      </c>
      <c r="I764" t="s">
        <v>125</v>
      </c>
      <c r="J764" t="s">
        <v>111</v>
      </c>
      <c r="K764" t="s">
        <v>47</v>
      </c>
      <c r="L764" t="s">
        <v>59</v>
      </c>
      <c r="M764" t="s">
        <v>480</v>
      </c>
      <c r="N764" t="s">
        <v>100</v>
      </c>
    </row>
    <row r="765" spans="1:14" ht="12.75">
      <c r="A765" t="str">
        <f>HYPERLINK("http://www.onsemi.com/PowerSolutions/product.do?id=MSA1162GT1G","MSA1162GT1G")</f>
        <v>MSA1162GT1G</v>
      </c>
      <c r="B765" t="str">
        <f>HYPERLINK("http://www.onsemi.com/pub/Collateral/MSA1162GT1-D.PDF","MSA1162GT1/D (41.0kB)")</f>
        <v>MSA1162GT1/D (41.0kB)</v>
      </c>
      <c r="C765" t="s">
        <v>19</v>
      </c>
      <c r="D765" t="s">
        <v>70</v>
      </c>
      <c r="E765" t="s">
        <v>479</v>
      </c>
      <c r="F765" t="s">
        <v>63</v>
      </c>
      <c r="G765" t="s">
        <v>120</v>
      </c>
      <c r="H765" t="s">
        <v>33</v>
      </c>
      <c r="I765" t="s">
        <v>125</v>
      </c>
      <c r="J765" t="s">
        <v>111</v>
      </c>
      <c r="K765" t="s">
        <v>47</v>
      </c>
      <c r="L765" t="s">
        <v>59</v>
      </c>
      <c r="M765" t="s">
        <v>480</v>
      </c>
      <c r="N765" t="s">
        <v>481</v>
      </c>
    </row>
    <row r="766" spans="1:14" ht="12.75">
      <c r="A766" t="str">
        <f>HYPERLINK("http://www.onsemi.com/PowerSolutions/product.do?id=MSA1162YT1G","MSA1162YT1G")</f>
        <v>MSA1162YT1G</v>
      </c>
      <c r="B766" t="str">
        <f>HYPERLINK("http://www.onsemi.com/pub/Collateral/MSA1162GT1-D.PDF","MSA1162GT1/D (41.0kB)")</f>
        <v>MSA1162GT1/D (41.0kB)</v>
      </c>
      <c r="C766" t="s">
        <v>19</v>
      </c>
      <c r="D766" t="s">
        <v>70</v>
      </c>
      <c r="E766" t="s">
        <v>479</v>
      </c>
      <c r="F766" t="s">
        <v>63</v>
      </c>
      <c r="G766" t="s">
        <v>120</v>
      </c>
      <c r="H766" t="s">
        <v>24</v>
      </c>
      <c r="I766" t="s">
        <v>136</v>
      </c>
      <c r="J766" t="s">
        <v>111</v>
      </c>
      <c r="K766" t="s">
        <v>47</v>
      </c>
      <c r="L766" t="s">
        <v>59</v>
      </c>
      <c r="M766" t="s">
        <v>480</v>
      </c>
      <c r="N766" t="s">
        <v>100</v>
      </c>
    </row>
    <row r="767" spans="1:14" ht="12.75">
      <c r="A767" t="str">
        <f>HYPERLINK("http://www.onsemi.com/PowerSolutions/product.do?id=MSB1218A-RT1G","MSB1218A-RT1G")</f>
        <v>MSB1218A-RT1G</v>
      </c>
      <c r="B767" t="str">
        <f>HYPERLINK("http://www.onsemi.com/pub/Collateral/MSB1218A-RT1-D.PDF","MSB1218A-RT1/D (52.0kB)")</f>
        <v>MSB1218A-RT1/D (52.0kB)</v>
      </c>
      <c r="C767" t="s">
        <v>19</v>
      </c>
      <c r="D767" t="s">
        <v>70</v>
      </c>
      <c r="E767" t="s">
        <v>482</v>
      </c>
      <c r="F767" t="s">
        <v>63</v>
      </c>
      <c r="G767" t="s">
        <v>64</v>
      </c>
      <c r="H767" t="s">
        <v>483</v>
      </c>
      <c r="I767" t="s">
        <v>484</v>
      </c>
      <c r="K767" t="s">
        <v>180</v>
      </c>
      <c r="L767" t="s">
        <v>59</v>
      </c>
      <c r="M767" t="s">
        <v>226</v>
      </c>
      <c r="N767" t="s">
        <v>209</v>
      </c>
    </row>
    <row r="768" spans="1:14" ht="12.75">
      <c r="A768" t="str">
        <f>HYPERLINK("http://www.onsemi.com/PowerSolutions/product.do?id=MSB709-RT1G","MSB709-RT1G")</f>
        <v>MSB709-RT1G</v>
      </c>
      <c r="B768" t="str">
        <f>HYPERLINK("http://www.onsemi.com/pub/Collateral/MSB709-RT1-D.PDF","MSB709-RT1/D (42.0kB)")</f>
        <v>MSB709-RT1/D (42.0kB)</v>
      </c>
      <c r="C768" t="s">
        <v>19</v>
      </c>
      <c r="D768" t="s">
        <v>70</v>
      </c>
      <c r="E768" t="s">
        <v>482</v>
      </c>
      <c r="F768" t="s">
        <v>63</v>
      </c>
      <c r="G768" t="s">
        <v>64</v>
      </c>
      <c r="H768" t="s">
        <v>483</v>
      </c>
      <c r="I768" t="s">
        <v>484</v>
      </c>
      <c r="K768" t="s">
        <v>47</v>
      </c>
      <c r="L768" t="s">
        <v>59</v>
      </c>
      <c r="M768" t="s">
        <v>480</v>
      </c>
      <c r="N768" t="s">
        <v>209</v>
      </c>
    </row>
    <row r="769" spans="1:14" ht="12.75">
      <c r="A769" t="str">
        <f>HYPERLINK("http://www.onsemi.com/PowerSolutions/product.do?id=MSB710-RT1G","MSB710-RT1G")</f>
        <v>MSB710-RT1G</v>
      </c>
      <c r="B769" t="str">
        <f>HYPERLINK("http://www.onsemi.com/pub/Collateral/MSB710-RT1-D.PDF","MSB710-RT1/D (41.0kB)")</f>
        <v>MSB710-RT1/D (41.0kB)</v>
      </c>
      <c r="C769" t="s">
        <v>19</v>
      </c>
      <c r="D769" t="s">
        <v>70</v>
      </c>
      <c r="E769" t="s">
        <v>482</v>
      </c>
      <c r="F769" t="s">
        <v>135</v>
      </c>
      <c r="G769" t="s">
        <v>64</v>
      </c>
      <c r="H769" t="s">
        <v>24</v>
      </c>
      <c r="I769" t="s">
        <v>136</v>
      </c>
      <c r="K769" t="s">
        <v>47</v>
      </c>
      <c r="L769" t="s">
        <v>59</v>
      </c>
      <c r="M769" t="s">
        <v>480</v>
      </c>
      <c r="N769" t="s">
        <v>209</v>
      </c>
    </row>
    <row r="770" spans="1:14" ht="12.75">
      <c r="A770" t="str">
        <f>HYPERLINK("http://www.onsemi.com/PowerSolutions/product.do?id=MSB92ASWT1G","MSB92ASWT1G")</f>
        <v>MSB92ASWT1G</v>
      </c>
      <c r="B770" t="str">
        <f>HYPERLINK("http://www.onsemi.com/pub/Collateral/MSB92ASWT1-D.PDF","MSB92ASWT1/D (43.0kB)")</f>
        <v>MSB92ASWT1/D (43.0kB)</v>
      </c>
      <c r="C770" t="s">
        <v>19</v>
      </c>
      <c r="D770" t="s">
        <v>70</v>
      </c>
      <c r="E770" t="s">
        <v>485</v>
      </c>
      <c r="F770" t="s">
        <v>119</v>
      </c>
      <c r="G770" t="s">
        <v>48</v>
      </c>
      <c r="H770" t="s">
        <v>24</v>
      </c>
      <c r="I770" t="s">
        <v>33</v>
      </c>
      <c r="J770" t="s">
        <v>120</v>
      </c>
      <c r="K770" t="s">
        <v>180</v>
      </c>
      <c r="L770" t="s">
        <v>59</v>
      </c>
      <c r="M770" t="s">
        <v>226</v>
      </c>
      <c r="N770" t="s">
        <v>486</v>
      </c>
    </row>
    <row r="771" spans="1:14" ht="12.75">
      <c r="A771" t="str">
        <f>HYPERLINK("http://www.onsemi.com/PowerSolutions/product.do?id=MSB92AWT1G","MSB92AWT1G")</f>
        <v>MSB92AWT1G</v>
      </c>
      <c r="B771" t="str">
        <f>HYPERLINK("http://www.onsemi.com/pub/Collateral/MSB92WT1-D.PDF","MSB92WT1/D (55.0kB)")</f>
        <v>MSB92WT1/D (55.0kB)</v>
      </c>
      <c r="C771" t="s">
        <v>19</v>
      </c>
      <c r="D771" t="s">
        <v>70</v>
      </c>
      <c r="E771" t="s">
        <v>485</v>
      </c>
      <c r="F771" t="s">
        <v>119</v>
      </c>
      <c r="G771" t="s">
        <v>48</v>
      </c>
      <c r="H771" t="s">
        <v>24</v>
      </c>
      <c r="I771" t="s">
        <v>33</v>
      </c>
      <c r="J771" t="s">
        <v>120</v>
      </c>
      <c r="K771" t="s">
        <v>180</v>
      </c>
      <c r="L771" t="s">
        <v>59</v>
      </c>
      <c r="M771" t="s">
        <v>226</v>
      </c>
      <c r="N771" t="s">
        <v>486</v>
      </c>
    </row>
    <row r="772" spans="1:14" ht="12.75">
      <c r="A772" t="str">
        <f>HYPERLINK("http://www.onsemi.com/PowerSolutions/product.do?id=MSB92T1G","MSB92T1G")</f>
        <v>MSB92T1G</v>
      </c>
      <c r="B772" t="str">
        <f>HYPERLINK("http://www.onsemi.com/pub/Collateral/MSB92T1G-D.PDF","MSB92T1G/D (73.0kB)")</f>
        <v>MSB92T1G/D (73.0kB)</v>
      </c>
      <c r="C772" t="s">
        <v>19</v>
      </c>
      <c r="D772" t="s">
        <v>70</v>
      </c>
      <c r="E772" t="s">
        <v>487</v>
      </c>
      <c r="F772" t="s">
        <v>119</v>
      </c>
      <c r="G772" t="s">
        <v>48</v>
      </c>
      <c r="H772" t="s">
        <v>102</v>
      </c>
      <c r="M772" t="s">
        <v>480</v>
      </c>
      <c r="N772" t="s">
        <v>486</v>
      </c>
    </row>
    <row r="773" spans="1:14" ht="12.75">
      <c r="A773" t="str">
        <f>HYPERLINK("http://www.onsemi.com/PowerSolutions/product.do?id=MSB92WT1G","MSB92WT1G")</f>
        <v>MSB92WT1G</v>
      </c>
      <c r="B773" t="str">
        <f>HYPERLINK("http://www.onsemi.com/pub/Collateral/MSB92WT1-D.PDF","MSB92WT1/D (55.0kB)")</f>
        <v>MSB92WT1/D (55.0kB)</v>
      </c>
      <c r="C773" t="s">
        <v>19</v>
      </c>
      <c r="D773" t="s">
        <v>70</v>
      </c>
      <c r="E773" t="s">
        <v>485</v>
      </c>
      <c r="F773" t="s">
        <v>119</v>
      </c>
      <c r="G773" t="s">
        <v>48</v>
      </c>
      <c r="H773" t="s">
        <v>102</v>
      </c>
      <c r="K773" t="s">
        <v>180</v>
      </c>
      <c r="L773" t="s">
        <v>59</v>
      </c>
      <c r="M773" t="s">
        <v>226</v>
      </c>
      <c r="N773" t="s">
        <v>488</v>
      </c>
    </row>
    <row r="774" spans="1:14" ht="12.75">
      <c r="A774" t="str">
        <f>HYPERLINK("http://www.onsemi.com/PowerSolutions/product.do?id=MSC2712GT1","MSC2712GT1")</f>
        <v>MSC2712GT1</v>
      </c>
      <c r="B774" t="str">
        <f>HYPERLINK("http://www.onsemi.com/pub/Collateral/MSC2712GT1-D.PDF","MSC2712GT1/D (31.0kB)")</f>
        <v>MSC2712GT1/D (31.0kB)</v>
      </c>
      <c r="C774" t="s">
        <v>69</v>
      </c>
      <c r="D774" t="s">
        <v>70</v>
      </c>
      <c r="E774" t="s">
        <v>489</v>
      </c>
      <c r="F774" t="s">
        <v>63</v>
      </c>
      <c r="G774" t="s">
        <v>120</v>
      </c>
      <c r="H774" t="s">
        <v>33</v>
      </c>
      <c r="I774" t="s">
        <v>125</v>
      </c>
      <c r="J774" t="s">
        <v>120</v>
      </c>
      <c r="K774" t="s">
        <v>47</v>
      </c>
      <c r="L774" t="s">
        <v>50</v>
      </c>
      <c r="M774" t="s">
        <v>480</v>
      </c>
      <c r="N774" t="s">
        <v>100</v>
      </c>
    </row>
    <row r="775" spans="1:14" ht="12.75">
      <c r="A775" t="str">
        <f>HYPERLINK("http://www.onsemi.com/PowerSolutions/product.do?id=MSC2712GT1G","MSC2712GT1G")</f>
        <v>MSC2712GT1G</v>
      </c>
      <c r="B775" t="str">
        <f>HYPERLINK("http://www.onsemi.com/pub/Collateral/MSC2712GT1-D.PDF","MSC2712GT1/D (31.0kB)")</f>
        <v>MSC2712GT1/D (31.0kB)</v>
      </c>
      <c r="C775" t="s">
        <v>19</v>
      </c>
      <c r="D775" t="s">
        <v>70</v>
      </c>
      <c r="E775" t="s">
        <v>489</v>
      </c>
      <c r="F775" t="s">
        <v>63</v>
      </c>
      <c r="G775" t="s">
        <v>120</v>
      </c>
      <c r="H775" t="s">
        <v>33</v>
      </c>
      <c r="I775" t="s">
        <v>125</v>
      </c>
      <c r="J775" t="s">
        <v>120</v>
      </c>
      <c r="K775" t="s">
        <v>47</v>
      </c>
      <c r="L775" t="s">
        <v>50</v>
      </c>
      <c r="M775" t="s">
        <v>480</v>
      </c>
      <c r="N775" t="s">
        <v>490</v>
      </c>
    </row>
    <row r="776" spans="1:14" ht="12.75">
      <c r="A776" t="str">
        <f>HYPERLINK("http://www.onsemi.com/PowerSolutions/product.do?id=MSC2712YT1G","MSC2712YT1G")</f>
        <v>MSC2712YT1G</v>
      </c>
      <c r="B776" t="str">
        <f>HYPERLINK("http://www.onsemi.com/pub/Collateral/MSC2712GT1-D.PDF","MSC2712GT1/D (31.0kB)")</f>
        <v>MSC2712GT1/D (31.0kB)</v>
      </c>
      <c r="C776" t="s">
        <v>19</v>
      </c>
      <c r="D776" t="s">
        <v>70</v>
      </c>
      <c r="E776" t="s">
        <v>489</v>
      </c>
      <c r="F776" t="s">
        <v>63</v>
      </c>
      <c r="G776" t="s">
        <v>120</v>
      </c>
      <c r="H776" t="s">
        <v>24</v>
      </c>
      <c r="I776" t="s">
        <v>136</v>
      </c>
      <c r="J776" t="s">
        <v>120</v>
      </c>
      <c r="K776" t="s">
        <v>47</v>
      </c>
      <c r="L776" t="s">
        <v>50</v>
      </c>
      <c r="M776" t="s">
        <v>480</v>
      </c>
      <c r="N776" t="s">
        <v>100</v>
      </c>
    </row>
    <row r="777" spans="1:14" ht="12.75">
      <c r="A777" t="str">
        <f>HYPERLINK("http://www.onsemi.com/PowerSolutions/product.do?id=MSD1328-RT1G","MSD1328-RT1G")</f>
        <v>MSD1328-RT1G</v>
      </c>
      <c r="B777" t="str">
        <f>HYPERLINK("http://www.onsemi.com/pub/Collateral/MSD1328-RT1-D.PDF","MSD1328-RT1/D (30.0kB)")</f>
        <v>MSD1328-RT1/D (30.0kB)</v>
      </c>
      <c r="C777" t="s">
        <v>19</v>
      </c>
      <c r="D777" t="s">
        <v>70</v>
      </c>
      <c r="E777" t="s">
        <v>491</v>
      </c>
      <c r="F777" t="s">
        <v>135</v>
      </c>
      <c r="G777" t="s">
        <v>32</v>
      </c>
      <c r="H777" t="s">
        <v>33</v>
      </c>
      <c r="I777" t="s">
        <v>35</v>
      </c>
      <c r="K777" t="s">
        <v>47</v>
      </c>
      <c r="L777" t="s">
        <v>50</v>
      </c>
      <c r="M777" t="s">
        <v>480</v>
      </c>
      <c r="N777" t="s">
        <v>209</v>
      </c>
    </row>
    <row r="778" spans="1:14" ht="12.75">
      <c r="A778" t="str">
        <f>HYPERLINK("http://www.onsemi.com/PowerSolutions/product.do?id=MSD1328-ST1G","MSD1328-ST1G")</f>
        <v>MSD1328-ST1G</v>
      </c>
      <c r="B778" t="str">
        <f>HYPERLINK("http://www.onsemi.com/pub/Collateral/MSD1328-RT1-D.PDF","MSD1328-RT1/D (30.0kB)")</f>
        <v>MSD1328-RT1/D (30.0kB)</v>
      </c>
      <c r="C778" t="s">
        <v>19</v>
      </c>
      <c r="D778" t="s">
        <v>70</v>
      </c>
      <c r="E778" t="s">
        <v>491</v>
      </c>
      <c r="F778" t="s">
        <v>135</v>
      </c>
      <c r="G778" t="s">
        <v>32</v>
      </c>
      <c r="H778" t="s">
        <v>48</v>
      </c>
      <c r="I778" t="s">
        <v>34</v>
      </c>
      <c r="K778" t="s">
        <v>47</v>
      </c>
      <c r="L778" t="s">
        <v>50</v>
      </c>
      <c r="M778" t="s">
        <v>480</v>
      </c>
      <c r="N778" t="s">
        <v>209</v>
      </c>
    </row>
    <row r="779" spans="1:14" ht="12.75">
      <c r="A779" t="str">
        <f>HYPERLINK("http://www.onsemi.com/PowerSolutions/product.do?id=MSD1819A-RT1G","MSD1819A-RT1G")</f>
        <v>MSD1819A-RT1G</v>
      </c>
      <c r="B779" t="str">
        <f>HYPERLINK("http://www.onsemi.com/pub/Collateral/MSD1819A-RT1-D.PDF","MSD1819A-RT1/D (52.0kB)")</f>
        <v>MSD1819A-RT1/D (52.0kB)</v>
      </c>
      <c r="C779" t="s">
        <v>19</v>
      </c>
      <c r="D779" t="s">
        <v>70</v>
      </c>
      <c r="E779" t="s">
        <v>489</v>
      </c>
      <c r="F779" t="s">
        <v>63</v>
      </c>
      <c r="G779" t="s">
        <v>120</v>
      </c>
      <c r="H779" t="s">
        <v>483</v>
      </c>
      <c r="I779" t="s">
        <v>484</v>
      </c>
      <c r="K779" t="s">
        <v>180</v>
      </c>
      <c r="L779" t="s">
        <v>50</v>
      </c>
      <c r="M779" t="s">
        <v>226</v>
      </c>
      <c r="N779" t="s">
        <v>209</v>
      </c>
    </row>
    <row r="780" spans="1:14" ht="12.75">
      <c r="A780" t="str">
        <f>HYPERLINK("http://www.onsemi.com/PowerSolutions/product.do?id=MSD42SWT1G","MSD42SWT1G")</f>
        <v>MSD42SWT1G</v>
      </c>
      <c r="B780" t="str">
        <f>HYPERLINK("http://www.onsemi.com/pub/Collateral/MSD42SWT1-D.PDF","MSD42SWT1/D (42.0kB)")</f>
        <v>MSD42SWT1/D (42.0kB)</v>
      </c>
      <c r="C780" t="s">
        <v>19</v>
      </c>
      <c r="D780" t="s">
        <v>70</v>
      </c>
      <c r="E780" t="s">
        <v>492</v>
      </c>
      <c r="F780" t="s">
        <v>180</v>
      </c>
      <c r="G780" t="s">
        <v>48</v>
      </c>
      <c r="H780" t="s">
        <v>102</v>
      </c>
      <c r="I780" t="s">
        <v>33</v>
      </c>
      <c r="K780" t="s">
        <v>180</v>
      </c>
      <c r="M780" t="s">
        <v>226</v>
      </c>
      <c r="N780" t="s">
        <v>486</v>
      </c>
    </row>
    <row r="781" spans="1:14" ht="12.75">
      <c r="A781" t="str">
        <f>HYPERLINK("http://www.onsemi.com/PowerSolutions/product.do?id=MSD42WT1G","MSD42WT1G")</f>
        <v>MSD42WT1G</v>
      </c>
      <c r="B781" t="str">
        <f>HYPERLINK("http://www.onsemi.com/pub/Collateral/MSD42WT1-D.PDF","MSD42WT1/D (48.0kB)")</f>
        <v>MSD42WT1/D (48.0kB)</v>
      </c>
      <c r="C781" t="s">
        <v>19</v>
      </c>
      <c r="D781" t="s">
        <v>70</v>
      </c>
      <c r="E781" t="s">
        <v>492</v>
      </c>
      <c r="F781" t="s">
        <v>180</v>
      </c>
      <c r="G781" t="s">
        <v>48</v>
      </c>
      <c r="H781" t="s">
        <v>41</v>
      </c>
      <c r="K781" t="s">
        <v>180</v>
      </c>
      <c r="L781" t="s">
        <v>50</v>
      </c>
      <c r="M781" t="s">
        <v>226</v>
      </c>
      <c r="N781" t="s">
        <v>486</v>
      </c>
    </row>
    <row r="782" spans="1:14" ht="12.75">
      <c r="A782" t="str">
        <f>HYPERLINK("http://www.onsemi.com/PowerSolutions/product.do?id=MSD601-RT1G","MSD601-RT1G")</f>
        <v>MSD601-RT1G</v>
      </c>
      <c r="B782" t="str">
        <f>HYPERLINK("http://www.onsemi.com/pub/Collateral/MSD601-RT1-D.PDF","MSD601-RT1/D (42.0kB)")</f>
        <v>MSD601-RT1/D (42.0kB)</v>
      </c>
      <c r="C782" t="s">
        <v>19</v>
      </c>
      <c r="D782" t="s">
        <v>70</v>
      </c>
      <c r="E782" t="s">
        <v>493</v>
      </c>
      <c r="F782" t="s">
        <v>63</v>
      </c>
      <c r="G782" t="s">
        <v>120</v>
      </c>
      <c r="H782" t="s">
        <v>483</v>
      </c>
      <c r="I782" t="s">
        <v>484</v>
      </c>
      <c r="K782" t="s">
        <v>47</v>
      </c>
      <c r="L782" t="s">
        <v>50</v>
      </c>
      <c r="M782" t="s">
        <v>480</v>
      </c>
      <c r="N782" t="s">
        <v>494</v>
      </c>
    </row>
    <row r="783" spans="1:14" ht="12.75">
      <c r="A783" t="str">
        <f>HYPERLINK("http://www.onsemi.com/PowerSolutions/product.do?id=MSD602-RT1G","MSD602-RT1G")</f>
        <v>MSD602-RT1G</v>
      </c>
      <c r="B783" t="str">
        <f>HYPERLINK("http://www.onsemi.com/pub/Collateral/MSD602-RT1-D.PDF","MSD602-RT1/D (42.0kB)")</f>
        <v>MSD602-RT1/D (42.0kB)</v>
      </c>
      <c r="C783" t="s">
        <v>19</v>
      </c>
      <c r="D783" t="s">
        <v>70</v>
      </c>
      <c r="E783" t="s">
        <v>493</v>
      </c>
      <c r="F783" t="s">
        <v>135</v>
      </c>
      <c r="G783" t="s">
        <v>120</v>
      </c>
      <c r="H783" t="s">
        <v>24</v>
      </c>
      <c r="I783" t="s">
        <v>136</v>
      </c>
      <c r="K783" t="s">
        <v>47</v>
      </c>
      <c r="L783" t="s">
        <v>50</v>
      </c>
      <c r="M783" t="s">
        <v>480</v>
      </c>
      <c r="N783" t="s">
        <v>209</v>
      </c>
    </row>
    <row r="784" spans="1:14" ht="12.75">
      <c r="A784" t="str">
        <f>HYPERLINK("http://www.onsemi.com/PowerSolutions/product.do?id=NJD2873T4","NJD2873T4")</f>
        <v>NJD2873T4</v>
      </c>
      <c r="B784" t="str">
        <f>HYPERLINK("http://www.onsemi.com/pub/Collateral/NJD2873T4-D.PDF","NJD2873T4/D (71.0kB)")</f>
        <v>NJD2873T4/D (71.0kB)</v>
      </c>
      <c r="C784" t="s">
        <v>69</v>
      </c>
      <c r="D784" t="s">
        <v>70</v>
      </c>
      <c r="E784" t="s">
        <v>495</v>
      </c>
      <c r="F784" t="s">
        <v>26</v>
      </c>
      <c r="G784" t="s">
        <v>120</v>
      </c>
      <c r="H784" t="s">
        <v>24</v>
      </c>
      <c r="I784" t="s">
        <v>25</v>
      </c>
      <c r="J784" t="s">
        <v>200</v>
      </c>
      <c r="K784" t="s">
        <v>263</v>
      </c>
      <c r="L784" t="s">
        <v>50</v>
      </c>
      <c r="M784" t="s">
        <v>301</v>
      </c>
      <c r="N784" t="s">
        <v>100</v>
      </c>
    </row>
    <row r="785" spans="1:14" ht="12.75">
      <c r="A785" t="str">
        <f>HYPERLINK("http://www.onsemi.com/PowerSolutions/product.do?id=NJD2873T4G","NJD2873T4G")</f>
        <v>NJD2873T4G</v>
      </c>
      <c r="B785" t="str">
        <f>HYPERLINK("http://www.onsemi.com/pub/Collateral/NJD2873T4-D.PDF","NJD2873T4/D (71.0kB)")</f>
        <v>NJD2873T4/D (71.0kB)</v>
      </c>
      <c r="C785" t="s">
        <v>19</v>
      </c>
      <c r="D785" t="s">
        <v>70</v>
      </c>
      <c r="E785" t="s">
        <v>495</v>
      </c>
      <c r="F785" t="s">
        <v>26</v>
      </c>
      <c r="G785" t="s">
        <v>120</v>
      </c>
      <c r="H785" t="s">
        <v>24</v>
      </c>
      <c r="I785" t="s">
        <v>25</v>
      </c>
      <c r="J785" t="s">
        <v>200</v>
      </c>
      <c r="K785" t="s">
        <v>263</v>
      </c>
      <c r="L785" t="s">
        <v>50</v>
      </c>
      <c r="M785" t="s">
        <v>301</v>
      </c>
      <c r="N785" t="s">
        <v>496</v>
      </c>
    </row>
    <row r="786" spans="1:14" ht="12.75">
      <c r="A786" t="str">
        <f>HYPERLINK("http://www.onsemi.com/PowerSolutions/product.do?id=NJT4030PT1G","NJT4030PT1G")</f>
        <v>NJT4030PT1G</v>
      </c>
      <c r="B786" t="str">
        <f>HYPERLINK("http://www.onsemi.com/pub/Collateral/NJT4030P-D.PDF","NJT4030P/D (134.0kB)")</f>
        <v>NJT4030P/D (134.0kB)</v>
      </c>
      <c r="C786" t="s">
        <v>19</v>
      </c>
      <c r="D786" t="s">
        <v>70</v>
      </c>
      <c r="E786" t="s">
        <v>497</v>
      </c>
      <c r="F786" t="s">
        <v>22</v>
      </c>
      <c r="G786" t="s">
        <v>41</v>
      </c>
      <c r="H786" t="s">
        <v>33</v>
      </c>
      <c r="I786" t="s">
        <v>125</v>
      </c>
      <c r="J786" t="s">
        <v>23</v>
      </c>
      <c r="K786" t="s">
        <v>26</v>
      </c>
      <c r="L786" t="s">
        <v>59</v>
      </c>
      <c r="M786" t="s">
        <v>28</v>
      </c>
      <c r="N786" t="s">
        <v>52</v>
      </c>
    </row>
    <row r="787" spans="1:14" ht="12.75">
      <c r="A787" t="str">
        <f>HYPERLINK("http://www.onsemi.com/PowerSolutions/product.do?id=NJT4030PT3G","NJT4030PT3G")</f>
        <v>NJT4030PT3G</v>
      </c>
      <c r="B787" t="str">
        <f>HYPERLINK("http://www.onsemi.com/pub/Collateral/NJT4030P-D.PDF","NJT4030P/D (134.0kB)")</f>
        <v>NJT4030P/D (134.0kB)</v>
      </c>
      <c r="C787" t="s">
        <v>19</v>
      </c>
      <c r="D787" t="s">
        <v>70</v>
      </c>
      <c r="E787" t="s">
        <v>497</v>
      </c>
      <c r="F787" t="s">
        <v>22</v>
      </c>
      <c r="G787" t="s">
        <v>41</v>
      </c>
      <c r="H787" t="s">
        <v>33</v>
      </c>
      <c r="I787" t="s">
        <v>125</v>
      </c>
      <c r="J787" t="s">
        <v>23</v>
      </c>
      <c r="K787" t="s">
        <v>26</v>
      </c>
      <c r="L787" t="s">
        <v>59</v>
      </c>
      <c r="M787" t="s">
        <v>28</v>
      </c>
      <c r="N787" t="s">
        <v>52</v>
      </c>
    </row>
    <row r="788" spans="1:14" ht="12.75">
      <c r="A788" t="str">
        <f>HYPERLINK("http://www.onsemi.com/PowerSolutions/product.do?id=NJT4031NT1G","NJT4031NT1G")</f>
        <v>NJT4031NT1G</v>
      </c>
      <c r="B788" t="str">
        <f>HYPERLINK("http://www.onsemi.com/pub/Collateral/NJT4031N.PDF","NJT4031N (89.0kB)")</f>
        <v>NJT4031N (89.0kB)</v>
      </c>
      <c r="C788" t="s">
        <v>19</v>
      </c>
      <c r="D788" t="s">
        <v>70</v>
      </c>
      <c r="E788" t="s">
        <v>498</v>
      </c>
      <c r="F788" t="s">
        <v>22</v>
      </c>
      <c r="G788" t="s">
        <v>41</v>
      </c>
      <c r="H788" t="s">
        <v>33</v>
      </c>
      <c r="I788" t="s">
        <v>34</v>
      </c>
      <c r="J788" t="s">
        <v>255</v>
      </c>
      <c r="K788" t="s">
        <v>26</v>
      </c>
      <c r="M788" t="s">
        <v>28</v>
      </c>
      <c r="N788" t="s">
        <v>499</v>
      </c>
    </row>
    <row r="789" spans="1:14" ht="12.75">
      <c r="A789" t="str">
        <f>HYPERLINK("http://www.onsemi.com/PowerSolutions/product.do?id=NJT4031NT3G","NJT4031NT3G")</f>
        <v>NJT4031NT3G</v>
      </c>
      <c r="B789" t="str">
        <f>HYPERLINK("http://www.onsemi.com/pub/Collateral/NJT4031N.PDF","NJT4031N (89.0kB)")</f>
        <v>NJT4031N (89.0kB)</v>
      </c>
      <c r="C789" t="s">
        <v>19</v>
      </c>
      <c r="D789" t="s">
        <v>70</v>
      </c>
      <c r="E789" t="s">
        <v>498</v>
      </c>
      <c r="F789" t="s">
        <v>22</v>
      </c>
      <c r="G789" t="s">
        <v>41</v>
      </c>
      <c r="H789" t="s">
        <v>33</v>
      </c>
      <c r="I789" t="s">
        <v>34</v>
      </c>
      <c r="J789" t="s">
        <v>255</v>
      </c>
      <c r="K789" t="s">
        <v>26</v>
      </c>
      <c r="M789" t="s">
        <v>28</v>
      </c>
      <c r="N789" t="s">
        <v>499</v>
      </c>
    </row>
    <row r="790" spans="1:14" ht="12.75">
      <c r="A790" t="str">
        <f>HYPERLINK("http://www.onsemi.com/PowerSolutions/product.do?id=NJW0281G","NJW0281G")</f>
        <v>NJW0281G</v>
      </c>
      <c r="B790" t="str">
        <f>HYPERLINK("http://www.onsemi.com/pub/Collateral/NJW0281-D.PDF","NJW0281/D (74.0kB)")</f>
        <v>NJW0281/D (74.0kB)</v>
      </c>
      <c r="C790" t="s">
        <v>19</v>
      </c>
      <c r="D790" t="s">
        <v>70</v>
      </c>
      <c r="E790" t="s">
        <v>500</v>
      </c>
      <c r="F790" t="s">
        <v>72</v>
      </c>
      <c r="H790" t="s">
        <v>164</v>
      </c>
      <c r="I790" t="s">
        <v>88</v>
      </c>
      <c r="J790" t="s">
        <v>86</v>
      </c>
      <c r="K790" t="s">
        <v>88</v>
      </c>
      <c r="M790" t="s">
        <v>501</v>
      </c>
      <c r="N790" t="s">
        <v>502</v>
      </c>
    </row>
    <row r="791" spans="1:14" ht="12.75">
      <c r="A791" t="str">
        <f>HYPERLINK("http://www.onsemi.com/PowerSolutions/product.do?id=NJW0302G","NJW0302G")</f>
        <v>NJW0302G</v>
      </c>
      <c r="B791" t="str">
        <f>HYPERLINK("http://www.onsemi.com/pub/Collateral/NJW0281-D.PDF","NJW0281/D (74.0kB)")</f>
        <v>NJW0281/D (74.0kB)</v>
      </c>
      <c r="C791" t="s">
        <v>19</v>
      </c>
      <c r="D791" t="s">
        <v>70</v>
      </c>
      <c r="E791" t="s">
        <v>503</v>
      </c>
      <c r="F791" t="s">
        <v>72</v>
      </c>
      <c r="H791" t="s">
        <v>164</v>
      </c>
      <c r="I791" t="s">
        <v>88</v>
      </c>
      <c r="J791" t="s">
        <v>86</v>
      </c>
      <c r="K791" t="s">
        <v>88</v>
      </c>
      <c r="M791" t="s">
        <v>501</v>
      </c>
      <c r="N791" t="s">
        <v>504</v>
      </c>
    </row>
    <row r="792" spans="1:14" ht="12.75">
      <c r="A792" t="str">
        <f>HYPERLINK("http://www.onsemi.com/PowerSolutions/product.do?id=NJW1302G","NJW1302G")</f>
        <v>NJW1302G</v>
      </c>
      <c r="B792" t="str">
        <f>HYPERLINK("http://www.onsemi.com/pub/Collateral/NJW3281-D.PDF","NJW3281/D (83.0kB)")</f>
        <v>NJW3281/D (83.0kB)</v>
      </c>
      <c r="C792" t="s">
        <v>19</v>
      </c>
      <c r="D792" t="s">
        <v>70</v>
      </c>
      <c r="E792" t="s">
        <v>505</v>
      </c>
      <c r="F792" t="s">
        <v>72</v>
      </c>
      <c r="H792" t="s">
        <v>164</v>
      </c>
      <c r="I792" t="s">
        <v>88</v>
      </c>
      <c r="J792" t="s">
        <v>86</v>
      </c>
      <c r="K792" t="s">
        <v>33</v>
      </c>
      <c r="M792" t="s">
        <v>501</v>
      </c>
      <c r="N792" t="s">
        <v>506</v>
      </c>
    </row>
    <row r="793" spans="1:14" ht="12.75">
      <c r="A793" t="str">
        <f>HYPERLINK("http://www.onsemi.com/PowerSolutions/product.do?id=NJW21193G","NJW21193G")</f>
        <v>NJW21193G</v>
      </c>
      <c r="B793" t="str">
        <f>HYPERLINK("http://www.onsemi.com/pub/Collateral/NJW21193-D.PDF","NJW21193/D (90.0kB)")</f>
        <v>NJW21193/D (90.0kB)</v>
      </c>
      <c r="C793" t="s">
        <v>19</v>
      </c>
      <c r="D793" t="s">
        <v>70</v>
      </c>
      <c r="E793" t="s">
        <v>507</v>
      </c>
      <c r="F793" t="s">
        <v>72</v>
      </c>
      <c r="H793" t="s">
        <v>32</v>
      </c>
      <c r="I793" t="s">
        <v>74</v>
      </c>
      <c r="J793" t="s">
        <v>94</v>
      </c>
      <c r="K793" t="s">
        <v>33</v>
      </c>
      <c r="M793" t="s">
        <v>501</v>
      </c>
      <c r="N793" t="s">
        <v>100</v>
      </c>
    </row>
    <row r="794" spans="1:14" ht="12.75">
      <c r="A794" t="str">
        <f>HYPERLINK("http://www.onsemi.com/PowerSolutions/product.do?id=NJW21194G","NJW21194G")</f>
        <v>NJW21194G</v>
      </c>
      <c r="B794" t="str">
        <f>HYPERLINK("http://www.onsemi.com/pub/Collateral/NJW21193-D.PDF","NJW21193/D (90.0kB)")</f>
        <v>NJW21193/D (90.0kB)</v>
      </c>
      <c r="C794" t="s">
        <v>19</v>
      </c>
      <c r="D794" t="s">
        <v>70</v>
      </c>
      <c r="E794" t="s">
        <v>508</v>
      </c>
      <c r="F794" t="s">
        <v>72</v>
      </c>
      <c r="H794" t="s">
        <v>32</v>
      </c>
      <c r="I794" t="s">
        <v>74</v>
      </c>
      <c r="J794" t="s">
        <v>94</v>
      </c>
      <c r="K794" t="s">
        <v>33</v>
      </c>
      <c r="M794" t="s">
        <v>501</v>
      </c>
      <c r="N794" t="s">
        <v>509</v>
      </c>
    </row>
    <row r="795" spans="1:14" ht="12.75">
      <c r="A795" t="str">
        <f>HYPERLINK("http://www.onsemi.com/PowerSolutions/product.do?id=NJW3281G","NJW3281G")</f>
        <v>NJW3281G</v>
      </c>
      <c r="B795" t="str">
        <f>HYPERLINK("http://www.onsemi.com/pub/Collateral/NJW3281-D.PDF","NJW3281/D (83.0kB)")</f>
        <v>NJW3281/D (83.0kB)</v>
      </c>
      <c r="C795" t="s">
        <v>19</v>
      </c>
      <c r="D795" t="s">
        <v>70</v>
      </c>
      <c r="E795" t="s">
        <v>510</v>
      </c>
      <c r="F795" t="s">
        <v>72</v>
      </c>
      <c r="H795" t="s">
        <v>164</v>
      </c>
      <c r="I795" t="s">
        <v>88</v>
      </c>
      <c r="J795" t="s">
        <v>86</v>
      </c>
      <c r="K795" t="s">
        <v>33</v>
      </c>
      <c r="M795" t="s">
        <v>501</v>
      </c>
      <c r="N795" t="s">
        <v>511</v>
      </c>
    </row>
    <row r="796" spans="1:14" ht="12.75">
      <c r="A796" t="str">
        <f>HYPERLINK("http://www.onsemi.com/PowerSolutions/product.do?id=NS2029M3T5G","NS2029M3T5G")</f>
        <v>NS2029M3T5G</v>
      </c>
      <c r="B796" t="str">
        <f>HYPERLINK("http://www.onsemi.com/pub/Collateral/NS2029M3-D.PDF","NS2029M3/D (69.0kB)")</f>
        <v>NS2029M3/D (69.0kB)</v>
      </c>
      <c r="C796" t="s">
        <v>19</v>
      </c>
      <c r="D796" t="s">
        <v>70</v>
      </c>
      <c r="E796" t="s">
        <v>183</v>
      </c>
      <c r="F796" t="s">
        <v>63</v>
      </c>
      <c r="G796" t="s">
        <v>120</v>
      </c>
      <c r="H796" t="s">
        <v>24</v>
      </c>
      <c r="I796" t="s">
        <v>179</v>
      </c>
      <c r="K796" t="s">
        <v>184</v>
      </c>
      <c r="L796" t="s">
        <v>59</v>
      </c>
      <c r="M796" t="s">
        <v>185</v>
      </c>
      <c r="N796" t="s">
        <v>222</v>
      </c>
    </row>
    <row r="797" spans="1:14" ht="12.75">
      <c r="A797" t="str">
        <f>HYPERLINK("http://www.onsemi.com/PowerSolutions/product.do?id=NSS1C200LT1G","NSS1C200LT1G")</f>
        <v>NSS1C200LT1G</v>
      </c>
      <c r="B797" t="str">
        <f>HYPERLINK("http://www.onsemi.com/pub/Collateral/NSS1C200LT1.PDF","NSS1C200LT1 (72.0kB)")</f>
        <v>NSS1C200LT1 (72.0kB)</v>
      </c>
      <c r="C797" t="s">
        <v>19</v>
      </c>
      <c r="D797" t="s">
        <v>70</v>
      </c>
      <c r="E797" t="s">
        <v>512</v>
      </c>
      <c r="F797" t="s">
        <v>22</v>
      </c>
      <c r="G797" t="s">
        <v>23</v>
      </c>
      <c r="H797" t="s">
        <v>24</v>
      </c>
      <c r="I797" t="s">
        <v>25</v>
      </c>
      <c r="J797" t="s">
        <v>24</v>
      </c>
      <c r="K797" t="s">
        <v>513</v>
      </c>
      <c r="M797" t="s">
        <v>208</v>
      </c>
      <c r="N797" t="s">
        <v>514</v>
      </c>
    </row>
    <row r="798" spans="1:14" ht="12.75">
      <c r="A798" t="str">
        <f>HYPERLINK("http://www.onsemi.com/PowerSolutions/product.do?id=NSS40300MZ4T1G","NSS40300MZ4T1G")</f>
        <v>NSS40300MZ4T1G</v>
      </c>
      <c r="B798" t="str">
        <f>HYPERLINK("http://www.onsemi.com/pub/Collateral/NSS40300MZ4.PDF","NSS40300MZ4 (94.0kB)")</f>
        <v>NSS40300MZ4 (94.0kB)</v>
      </c>
      <c r="C798" t="s">
        <v>19</v>
      </c>
      <c r="D798" t="s">
        <v>70</v>
      </c>
      <c r="E798" t="s">
        <v>515</v>
      </c>
      <c r="F798" t="s">
        <v>22</v>
      </c>
      <c r="G798" t="s">
        <v>41</v>
      </c>
      <c r="H798" t="s">
        <v>33</v>
      </c>
      <c r="I798" t="s">
        <v>125</v>
      </c>
      <c r="J798" t="s">
        <v>23</v>
      </c>
      <c r="K798" t="s">
        <v>26</v>
      </c>
      <c r="L798" t="s">
        <v>59</v>
      </c>
      <c r="M798" t="s">
        <v>28</v>
      </c>
      <c r="N798" t="s">
        <v>516</v>
      </c>
    </row>
    <row r="799" spans="1:14" ht="12.75">
      <c r="A799" t="str">
        <f>HYPERLINK("http://www.onsemi.com/PowerSolutions/product.do?id=NSS40300MZ4T3G","NSS40300MZ4T3G")</f>
        <v>NSS40300MZ4T3G</v>
      </c>
      <c r="B799" t="str">
        <f>HYPERLINK("http://www.onsemi.com/pub/Collateral/NSS40300MZ4.PDF","NSS40300MZ4 (94.0kB)")</f>
        <v>NSS40300MZ4 (94.0kB)</v>
      </c>
      <c r="C799" t="s">
        <v>19</v>
      </c>
      <c r="D799" t="s">
        <v>70</v>
      </c>
      <c r="E799" t="s">
        <v>515</v>
      </c>
      <c r="F799" t="s">
        <v>22</v>
      </c>
      <c r="G799" t="s">
        <v>41</v>
      </c>
      <c r="H799" t="s">
        <v>33</v>
      </c>
      <c r="I799" t="s">
        <v>125</v>
      </c>
      <c r="J799" t="s">
        <v>23</v>
      </c>
      <c r="K799" t="s">
        <v>26</v>
      </c>
      <c r="L799" t="s">
        <v>59</v>
      </c>
      <c r="M799" t="s">
        <v>28</v>
      </c>
      <c r="N799" t="s">
        <v>100</v>
      </c>
    </row>
    <row r="800" spans="1:14" ht="12.75">
      <c r="A800" t="str">
        <f>HYPERLINK("http://www.onsemi.com/PowerSolutions/product.do?id=NSS40301MZ4T1G","NSS40301MZ4T1G")</f>
        <v>NSS40301MZ4T1G</v>
      </c>
      <c r="B800" t="str">
        <f>HYPERLINK("http://www.onsemi.com/pub/Collateral/NSS40301MZ4.PDF","NSS40301MZ4 (89.0kB)")</f>
        <v>NSS40301MZ4 (89.0kB)</v>
      </c>
      <c r="C800" t="s">
        <v>19</v>
      </c>
      <c r="D800" t="s">
        <v>70</v>
      </c>
      <c r="E800" t="s">
        <v>517</v>
      </c>
      <c r="F800" t="s">
        <v>22</v>
      </c>
      <c r="G800" t="s">
        <v>41</v>
      </c>
      <c r="H800" t="s">
        <v>33</v>
      </c>
      <c r="I800" t="s">
        <v>34</v>
      </c>
      <c r="J800" t="s">
        <v>33</v>
      </c>
      <c r="K800" t="s">
        <v>26</v>
      </c>
      <c r="M800" t="s">
        <v>28</v>
      </c>
      <c r="N800" t="s">
        <v>518</v>
      </c>
    </row>
    <row r="801" spans="1:14" ht="12.75">
      <c r="A801" t="str">
        <f>HYPERLINK("http://www.onsemi.com/PowerSolutions/product.do?id=NSS40301MZ4T3G","NSS40301MZ4T3G")</f>
        <v>NSS40301MZ4T3G</v>
      </c>
      <c r="B801" t="str">
        <f>HYPERLINK("http://www.onsemi.com/pub/Collateral/NSS40301MZ4.PDF","NSS40301MZ4 (89.0kB)")</f>
        <v>NSS40301MZ4 (89.0kB)</v>
      </c>
      <c r="C801" t="s">
        <v>19</v>
      </c>
      <c r="D801" t="s">
        <v>70</v>
      </c>
      <c r="E801" t="s">
        <v>517</v>
      </c>
      <c r="F801" t="s">
        <v>22</v>
      </c>
      <c r="G801" t="s">
        <v>41</v>
      </c>
      <c r="H801" t="s">
        <v>33</v>
      </c>
      <c r="I801" t="s">
        <v>34</v>
      </c>
      <c r="J801" t="s">
        <v>33</v>
      </c>
      <c r="K801" t="s">
        <v>26</v>
      </c>
      <c r="M801" t="s">
        <v>28</v>
      </c>
      <c r="N801" t="s">
        <v>100</v>
      </c>
    </row>
    <row r="802" spans="1:14" ht="12.75">
      <c r="A802" t="str">
        <f>HYPERLINK("http://www.onsemi.com/PowerSolutions/product.do?id=NSS60600MZ4T1G","NSS60600MZ4T1G")</f>
        <v>NSS60600MZ4T1G</v>
      </c>
      <c r="B802" t="str">
        <f>HYPERLINK("http://www.onsemi.com/pub/Collateral/NSS60600MZ4.PDF","NSS60600MZ4 (86.0kB)")</f>
        <v>NSS60600MZ4 (86.0kB)</v>
      </c>
      <c r="C802" t="s">
        <v>19</v>
      </c>
      <c r="D802" t="s">
        <v>70</v>
      </c>
      <c r="E802" t="s">
        <v>519</v>
      </c>
      <c r="F802" t="s">
        <v>40</v>
      </c>
      <c r="G802" t="s">
        <v>73</v>
      </c>
      <c r="H802" t="s">
        <v>24</v>
      </c>
      <c r="I802" t="s">
        <v>25</v>
      </c>
      <c r="J802" t="s">
        <v>23</v>
      </c>
      <c r="K802" t="s">
        <v>26</v>
      </c>
      <c r="L802" t="s">
        <v>59</v>
      </c>
      <c r="M802" t="s">
        <v>28</v>
      </c>
      <c r="N802" t="s">
        <v>29</v>
      </c>
    </row>
    <row r="803" spans="1:14" ht="12.75">
      <c r="A803" t="str">
        <f>HYPERLINK("http://www.onsemi.com/PowerSolutions/product.do?id=NSS60600MZ4T3G","NSS60600MZ4T3G")</f>
        <v>NSS60600MZ4T3G</v>
      </c>
      <c r="B803" t="str">
        <f>HYPERLINK("http://www.onsemi.com/pub/Collateral/NSS60600MZ4.PDF","NSS60600MZ4 (86.0kB)")</f>
        <v>NSS60600MZ4 (86.0kB)</v>
      </c>
      <c r="C803" t="s">
        <v>19</v>
      </c>
      <c r="D803" t="s">
        <v>70</v>
      </c>
      <c r="E803" t="s">
        <v>519</v>
      </c>
      <c r="F803" t="s">
        <v>40</v>
      </c>
      <c r="G803" t="s">
        <v>73</v>
      </c>
      <c r="H803" t="s">
        <v>24</v>
      </c>
      <c r="I803" t="s">
        <v>25</v>
      </c>
      <c r="J803" t="s">
        <v>23</v>
      </c>
      <c r="K803" t="s">
        <v>26</v>
      </c>
      <c r="L803" t="s">
        <v>59</v>
      </c>
      <c r="M803" t="s">
        <v>28</v>
      </c>
      <c r="N803" t="s">
        <v>29</v>
      </c>
    </row>
    <row r="804" spans="1:14" ht="12.75">
      <c r="A804" t="str">
        <f>HYPERLINK("http://www.onsemi.com/PowerSolutions/product.do?id=NSS60601MZ4T1G","NSS60601MZ4T1G")</f>
        <v>NSS60601MZ4T1G</v>
      </c>
      <c r="B804" t="str">
        <f>HYPERLINK("http://www.onsemi.com/pub/Collateral/NSS60601MZ4-D.PDF","NSS60601MZ4/D (105.0kB)")</f>
        <v>NSS60601MZ4/D (105.0kB)</v>
      </c>
      <c r="C804" t="s">
        <v>19</v>
      </c>
      <c r="D804" t="s">
        <v>70</v>
      </c>
      <c r="E804" t="s">
        <v>520</v>
      </c>
      <c r="F804" t="s">
        <v>40</v>
      </c>
      <c r="G804" t="s">
        <v>73</v>
      </c>
      <c r="H804" t="s">
        <v>24</v>
      </c>
      <c r="I804" t="s">
        <v>25</v>
      </c>
      <c r="J804" t="s">
        <v>23</v>
      </c>
      <c r="K804" t="s">
        <v>26</v>
      </c>
      <c r="M804" t="s">
        <v>28</v>
      </c>
      <c r="N804" t="s">
        <v>29</v>
      </c>
    </row>
    <row r="805" spans="1:14" ht="12.75">
      <c r="A805" t="str">
        <f>HYPERLINK("http://www.onsemi.com/PowerSolutions/product.do?id=NSS60601MZ4T3G","NSS60601MZ4T3G")</f>
        <v>NSS60601MZ4T3G</v>
      </c>
      <c r="B805" t="str">
        <f>HYPERLINK("http://www.onsemi.com/pub/Collateral/NSS60601MZ4-D.PDF","NSS60601MZ4/D (105.0kB)")</f>
        <v>NSS60601MZ4/D (105.0kB)</v>
      </c>
      <c r="C805" t="s">
        <v>19</v>
      </c>
      <c r="D805" t="s">
        <v>70</v>
      </c>
      <c r="E805" t="s">
        <v>520</v>
      </c>
      <c r="F805" t="s">
        <v>40</v>
      </c>
      <c r="G805" t="s">
        <v>73</v>
      </c>
      <c r="H805" t="s">
        <v>24</v>
      </c>
      <c r="I805" t="s">
        <v>25</v>
      </c>
      <c r="J805" t="s">
        <v>23</v>
      </c>
      <c r="K805" t="s">
        <v>26</v>
      </c>
      <c r="M805" t="s">
        <v>28</v>
      </c>
      <c r="N805" t="s">
        <v>29</v>
      </c>
    </row>
    <row r="806" spans="1:14" ht="12.75">
      <c r="A806" t="str">
        <f>HYPERLINK("http://www.onsemi.com/PowerSolutions/product.do?id=NST30010MXV6T1G","NST30010MXV6T1G")</f>
        <v>NST30010MXV6T1G</v>
      </c>
      <c r="B806" t="str">
        <f>HYPERLINK("http://www.onsemi.com/pub/Collateral/NST30010MXV6T1G.PDF","NST30010MXV6T1G (57.0kB)")</f>
        <v>NST30010MXV6T1G (57.0kB)</v>
      </c>
      <c r="C806" t="s">
        <v>19</v>
      </c>
      <c r="D806" t="s">
        <v>70</v>
      </c>
      <c r="E806" t="s">
        <v>521</v>
      </c>
      <c r="F806" t="s">
        <v>63</v>
      </c>
      <c r="G806" t="s">
        <v>86</v>
      </c>
      <c r="H806" t="s">
        <v>522</v>
      </c>
      <c r="I806" t="s">
        <v>121</v>
      </c>
      <c r="J806" t="s">
        <v>23</v>
      </c>
      <c r="K806" t="s">
        <v>135</v>
      </c>
      <c r="L806" t="s">
        <v>59</v>
      </c>
      <c r="M806" t="s">
        <v>231</v>
      </c>
      <c r="N806" t="s">
        <v>523</v>
      </c>
    </row>
    <row r="807" spans="1:14" ht="12.75">
      <c r="A807" t="str">
        <f>HYPERLINK("http://www.onsemi.com/PowerSolutions/product.do?id=NST3904DXV6T1G","NST3904DXV6T1G")</f>
        <v>NST3904DXV6T1G</v>
      </c>
      <c r="B807" t="str">
        <f>HYPERLINK("http://www.onsemi.com/pub/Collateral/NST3904DXV6T1-D.PDF","NST3904DXV6T1/D (99.0kB)")</f>
        <v>NST3904DXV6T1/D (99.0kB)</v>
      </c>
      <c r="C807" t="s">
        <v>19</v>
      </c>
      <c r="D807" t="s">
        <v>70</v>
      </c>
      <c r="E807" t="s">
        <v>524</v>
      </c>
      <c r="F807" t="s">
        <v>47</v>
      </c>
      <c r="G807" t="s">
        <v>41</v>
      </c>
      <c r="H807" t="s">
        <v>23</v>
      </c>
      <c r="I807" t="s">
        <v>48</v>
      </c>
      <c r="J807" t="s">
        <v>48</v>
      </c>
      <c r="K807" t="s">
        <v>234</v>
      </c>
      <c r="L807" t="s">
        <v>50</v>
      </c>
      <c r="M807" t="s">
        <v>231</v>
      </c>
      <c r="N807" t="s">
        <v>56</v>
      </c>
    </row>
    <row r="808" spans="1:14" ht="12.75">
      <c r="A808" t="str">
        <f>HYPERLINK("http://www.onsemi.com/PowerSolutions/product.do?id=NST3904DXV6T5G","NST3904DXV6T5G")</f>
        <v>NST3904DXV6T5G</v>
      </c>
      <c r="B808" t="str">
        <f>HYPERLINK("http://www.onsemi.com/pub/Collateral/NST3904DXV6T1-D.PDF","NST3904DXV6T1/D (99.0kB)")</f>
        <v>NST3904DXV6T1/D (99.0kB)</v>
      </c>
      <c r="C808" t="s">
        <v>19</v>
      </c>
      <c r="D808" t="s">
        <v>70</v>
      </c>
      <c r="E808" t="s">
        <v>524</v>
      </c>
      <c r="F808" t="s">
        <v>47</v>
      </c>
      <c r="G808" t="s">
        <v>41</v>
      </c>
      <c r="H808" t="s">
        <v>23</v>
      </c>
      <c r="I808" t="s">
        <v>48</v>
      </c>
      <c r="J808" t="s">
        <v>48</v>
      </c>
      <c r="K808" t="s">
        <v>234</v>
      </c>
      <c r="L808" t="s">
        <v>50</v>
      </c>
      <c r="M808" t="s">
        <v>231</v>
      </c>
      <c r="N808" t="s">
        <v>56</v>
      </c>
    </row>
    <row r="809" spans="1:14" ht="12.75">
      <c r="A809" t="str">
        <f>HYPERLINK("http://www.onsemi.com/PowerSolutions/product.do?id=NST3906DXV6T1G","NST3906DXV6T1G")</f>
        <v>NST3906DXV6T1G</v>
      </c>
      <c r="B809" t="str">
        <f>HYPERLINK("http://www.onsemi.com/pub/Collateral/NST3906DXV6T1-D.PDF","NST3906DXV6T1/D (96.0kB)")</f>
        <v>NST3906DXV6T1/D (96.0kB)</v>
      </c>
      <c r="C809" t="s">
        <v>19</v>
      </c>
      <c r="D809" t="s">
        <v>70</v>
      </c>
      <c r="E809" t="s">
        <v>525</v>
      </c>
      <c r="F809" t="s">
        <v>47</v>
      </c>
      <c r="G809" t="s">
        <v>41</v>
      </c>
      <c r="H809" t="s">
        <v>23</v>
      </c>
      <c r="I809" t="s">
        <v>48</v>
      </c>
      <c r="J809" t="s">
        <v>58</v>
      </c>
      <c r="K809" t="s">
        <v>234</v>
      </c>
      <c r="L809" t="s">
        <v>59</v>
      </c>
      <c r="M809" t="s">
        <v>231</v>
      </c>
      <c r="N809" t="s">
        <v>526</v>
      </c>
    </row>
    <row r="810" spans="1:14" ht="12.75">
      <c r="A810" t="str">
        <f>HYPERLINK("http://www.onsemi.com/PowerSolutions/product.do?id=NST3946DXV6T1G","NST3946DXV6T1G")</f>
        <v>NST3946DXV6T1G</v>
      </c>
      <c r="B810" t="str">
        <f>HYPERLINK("http://www.onsemi.com/pub/Collateral/NST3946DXV6T1D.PDF","NST3946DXV6T1/D (160.0kB)")</f>
        <v>NST3946DXV6T1/D (160.0kB)</v>
      </c>
      <c r="C810" t="s">
        <v>19</v>
      </c>
      <c r="D810" t="s">
        <v>70</v>
      </c>
      <c r="E810" t="s">
        <v>527</v>
      </c>
      <c r="F810" t="s">
        <v>47</v>
      </c>
      <c r="G810" t="s">
        <v>41</v>
      </c>
      <c r="H810" t="s">
        <v>23</v>
      </c>
      <c r="I810" t="s">
        <v>48</v>
      </c>
      <c r="J810" t="s">
        <v>33</v>
      </c>
      <c r="K810" t="s">
        <v>135</v>
      </c>
      <c r="L810" t="s">
        <v>224</v>
      </c>
      <c r="M810" t="s">
        <v>231</v>
      </c>
      <c r="N810" t="s">
        <v>56</v>
      </c>
    </row>
    <row r="811" spans="1:14" ht="12.75">
      <c r="A811" t="str">
        <f>HYPERLINK("http://www.onsemi.com/PowerSolutions/product.do?id=NST3946DXV6T5G","NST3946DXV6T5G")</f>
        <v>NST3946DXV6T5G</v>
      </c>
      <c r="B811" t="str">
        <f>HYPERLINK("http://www.onsemi.com/pub/Collateral/NST3946DXV6T1D.PDF","NST3946DXV6T1/D (160.0kB)")</f>
        <v>NST3946DXV6T1/D (160.0kB)</v>
      </c>
      <c r="C811" t="s">
        <v>19</v>
      </c>
      <c r="D811" t="s">
        <v>70</v>
      </c>
      <c r="E811" t="s">
        <v>527</v>
      </c>
      <c r="F811" t="s">
        <v>47</v>
      </c>
      <c r="G811" t="s">
        <v>41</v>
      </c>
      <c r="H811" t="s">
        <v>23</v>
      </c>
      <c r="I811" t="s">
        <v>48</v>
      </c>
      <c r="J811" t="s">
        <v>33</v>
      </c>
      <c r="K811" t="s">
        <v>135</v>
      </c>
      <c r="L811" t="s">
        <v>224</v>
      </c>
      <c r="M811" t="s">
        <v>231</v>
      </c>
      <c r="N811" t="s">
        <v>56</v>
      </c>
    </row>
    <row r="812" spans="1:14" ht="12.75">
      <c r="A812" t="str">
        <f>HYPERLINK("http://www.onsemi.com/PowerSolutions/product.do?id=NST45011MW6T1G","NST45011MW6T1G")</f>
        <v>NST45011MW6T1G</v>
      </c>
      <c r="B812" t="str">
        <f>HYPERLINK("http://www.onsemi.com/pub/Collateral/NST45011MW6-D.PDF","NST45011MW6/D (82.0kB)")</f>
        <v>NST45011MW6/D (82.0kB)</v>
      </c>
      <c r="C812" t="s">
        <v>19</v>
      </c>
      <c r="D812" t="s">
        <v>70</v>
      </c>
      <c r="E812" t="s">
        <v>528</v>
      </c>
      <c r="F812" t="s">
        <v>63</v>
      </c>
      <c r="G812" t="s">
        <v>64</v>
      </c>
      <c r="H812" t="s">
        <v>33</v>
      </c>
      <c r="I812" t="s">
        <v>34</v>
      </c>
      <c r="J812" t="s">
        <v>23</v>
      </c>
      <c r="K812" t="s">
        <v>219</v>
      </c>
      <c r="M812" t="s">
        <v>220</v>
      </c>
      <c r="N812" t="s">
        <v>29</v>
      </c>
    </row>
    <row r="813" spans="1:14" ht="12.75">
      <c r="A813" t="str">
        <f>HYPERLINK("http://www.onsemi.com/PowerSolutions/product.do?id=NST489AMT1G","NST489AMT1G")</f>
        <v>NST489AMT1G</v>
      </c>
      <c r="B813" t="str">
        <f>HYPERLINK("http://www.onsemi.com/pub/Collateral/NST489AMT1-D.PDF","NST489AMT1/D (65.0kB)")</f>
        <v>NST489AMT1/D (65.0kB)</v>
      </c>
      <c r="C813" t="s">
        <v>19</v>
      </c>
      <c r="D813" t="s">
        <v>70</v>
      </c>
      <c r="E813" t="s">
        <v>529</v>
      </c>
      <c r="F813" t="s">
        <v>26</v>
      </c>
      <c r="G813" t="s">
        <v>86</v>
      </c>
      <c r="H813" t="s">
        <v>48</v>
      </c>
      <c r="I813" t="s">
        <v>123</v>
      </c>
      <c r="J813" t="s">
        <v>33</v>
      </c>
      <c r="K813" t="s">
        <v>530</v>
      </c>
      <c r="L813" t="s">
        <v>50</v>
      </c>
      <c r="M813" t="s">
        <v>531</v>
      </c>
      <c r="N813" t="s">
        <v>532</v>
      </c>
    </row>
    <row r="814" spans="1:14" ht="12.75">
      <c r="A814" t="str">
        <f>HYPERLINK("http://www.onsemi.com/PowerSolutions/product.do?id=P2N2222AG","P2N2222AG")</f>
        <v>P2N2222AG</v>
      </c>
      <c r="B814" t="str">
        <f>HYPERLINK("http://www.onsemi.com/pub/Collateral/P2N2222A-D.PDF","P2N2222A/D (164.0kB)")</f>
        <v>P2N2222A/D (164.0kB)</v>
      </c>
      <c r="C814" t="s">
        <v>19</v>
      </c>
      <c r="D814" t="s">
        <v>70</v>
      </c>
      <c r="E814" t="s">
        <v>533</v>
      </c>
      <c r="F814" t="s">
        <v>104</v>
      </c>
      <c r="G814" t="s">
        <v>41</v>
      </c>
      <c r="H814" t="s">
        <v>23</v>
      </c>
      <c r="I814" t="s">
        <v>48</v>
      </c>
      <c r="J814" t="s">
        <v>48</v>
      </c>
      <c r="K814" t="s">
        <v>96</v>
      </c>
      <c r="L814" t="s">
        <v>50</v>
      </c>
      <c r="M814" t="s">
        <v>97</v>
      </c>
      <c r="N814" t="s">
        <v>124</v>
      </c>
    </row>
    <row r="815" spans="1:14" ht="12.75">
      <c r="A815" t="str">
        <f>HYPERLINK("http://www.onsemi.com/PowerSolutions/product.do?id=PN2222AG","PN2222AG")</f>
        <v>PN2222AG</v>
      </c>
      <c r="B815" t="str">
        <f>HYPERLINK("http://www.onsemi.com/pub/Collateral/PN2222-D.PDF","PN2222/D (106.0kB)")</f>
        <v>PN2222/D (106.0kB)</v>
      </c>
      <c r="C815" t="s">
        <v>19</v>
      </c>
      <c r="D815" t="s">
        <v>70</v>
      </c>
      <c r="E815" t="s">
        <v>534</v>
      </c>
      <c r="F815" t="s">
        <v>104</v>
      </c>
      <c r="G815" t="s">
        <v>41</v>
      </c>
      <c r="H815" t="s">
        <v>23</v>
      </c>
      <c r="I815" t="s">
        <v>48</v>
      </c>
      <c r="J815" t="s">
        <v>48</v>
      </c>
      <c r="K815" t="s">
        <v>96</v>
      </c>
      <c r="L815" t="s">
        <v>50</v>
      </c>
      <c r="M815" t="s">
        <v>97</v>
      </c>
      <c r="N815" t="s">
        <v>103</v>
      </c>
    </row>
    <row r="816" spans="1:14" ht="12.75">
      <c r="A816" t="str">
        <f>HYPERLINK("http://www.onsemi.com/PowerSolutions/product.do?id=PN2222ARLRAG","PN2222ARLRAG")</f>
        <v>PN2222ARLRAG</v>
      </c>
      <c r="B816" t="str">
        <f>HYPERLINK("http://www.onsemi.com/pub/Collateral/PN2222-D.PDF","PN2222/D (106.0kB)")</f>
        <v>PN2222/D (106.0kB)</v>
      </c>
      <c r="C816" t="s">
        <v>19</v>
      </c>
      <c r="D816" t="s">
        <v>70</v>
      </c>
      <c r="E816" t="s">
        <v>534</v>
      </c>
      <c r="F816" t="s">
        <v>104</v>
      </c>
      <c r="G816" t="s">
        <v>41</v>
      </c>
      <c r="H816" t="s">
        <v>23</v>
      </c>
      <c r="I816" t="s">
        <v>48</v>
      </c>
      <c r="J816" t="s">
        <v>48</v>
      </c>
      <c r="K816" t="s">
        <v>96</v>
      </c>
      <c r="L816" t="s">
        <v>50</v>
      </c>
      <c r="M816" t="s">
        <v>97</v>
      </c>
      <c r="N816" t="s">
        <v>103</v>
      </c>
    </row>
    <row r="817" spans="1:14" ht="12.75">
      <c r="A817" t="str">
        <f>HYPERLINK("http://www.onsemi.com/PowerSolutions/product.do?id=PN2222ARLRMG","PN2222ARLRMG")</f>
        <v>PN2222ARLRMG</v>
      </c>
      <c r="B817" t="str">
        <f>HYPERLINK("http://www.onsemi.com/pub/Collateral/PN2222-D.PDF","PN2222/D (106.0kB)")</f>
        <v>PN2222/D (106.0kB)</v>
      </c>
      <c r="C817" t="s">
        <v>19</v>
      </c>
      <c r="D817" t="s">
        <v>70</v>
      </c>
      <c r="E817" t="s">
        <v>534</v>
      </c>
      <c r="F817" t="s">
        <v>104</v>
      </c>
      <c r="G817" t="s">
        <v>41</v>
      </c>
      <c r="H817" t="s">
        <v>23</v>
      </c>
      <c r="I817" t="s">
        <v>48</v>
      </c>
      <c r="J817" t="s">
        <v>48</v>
      </c>
      <c r="K817" t="s">
        <v>96</v>
      </c>
      <c r="L817" t="s">
        <v>50</v>
      </c>
      <c r="M817" t="s">
        <v>97</v>
      </c>
      <c r="N817" t="s">
        <v>103</v>
      </c>
    </row>
    <row r="818" spans="1:14" ht="12.75">
      <c r="A818" t="str">
        <f>HYPERLINK("http://www.onsemi.com/PowerSolutions/product.do?id=PN2222ARLRPG","PN2222ARLRPG")</f>
        <v>PN2222ARLRPG</v>
      </c>
      <c r="B818" t="str">
        <f>HYPERLINK("http://www.onsemi.com/pub/Collateral/PN2222-D.PDF","PN2222/D (106.0kB)")</f>
        <v>PN2222/D (106.0kB)</v>
      </c>
      <c r="C818" t="s">
        <v>19</v>
      </c>
      <c r="D818" t="s">
        <v>70</v>
      </c>
      <c r="E818" t="s">
        <v>534</v>
      </c>
      <c r="F818" t="s">
        <v>104</v>
      </c>
      <c r="G818" t="s">
        <v>41</v>
      </c>
      <c r="H818" t="s">
        <v>23</v>
      </c>
      <c r="I818" t="s">
        <v>48</v>
      </c>
      <c r="J818" t="s">
        <v>48</v>
      </c>
      <c r="K818" t="s">
        <v>96</v>
      </c>
      <c r="L818" t="s">
        <v>50</v>
      </c>
      <c r="M818" t="s">
        <v>97</v>
      </c>
      <c r="N818" t="s">
        <v>103</v>
      </c>
    </row>
    <row r="819" spans="1:14" ht="12.75">
      <c r="A819" t="str">
        <f>HYPERLINK("http://www.onsemi.com/PowerSolutions/product.do?id=PZT2222AT1","PZT2222AT1")</f>
        <v>PZT2222AT1</v>
      </c>
      <c r="B819" t="str">
        <f>HYPERLINK("http://www.onsemi.com/pub/Collateral/PZT2222AT1-D.PDF","PZT2222AT1/D (43.0kB)")</f>
        <v>PZT2222AT1/D (43.0kB)</v>
      </c>
      <c r="C819" t="s">
        <v>69</v>
      </c>
      <c r="D819" t="s">
        <v>70</v>
      </c>
      <c r="E819" t="s">
        <v>535</v>
      </c>
      <c r="F819" t="s">
        <v>104</v>
      </c>
      <c r="G819" t="s">
        <v>41</v>
      </c>
      <c r="H819" t="s">
        <v>23</v>
      </c>
      <c r="I819" t="s">
        <v>48</v>
      </c>
      <c r="J819" t="s">
        <v>48</v>
      </c>
      <c r="K819" t="s">
        <v>176</v>
      </c>
      <c r="L819" t="s">
        <v>50</v>
      </c>
      <c r="M819" t="s">
        <v>28</v>
      </c>
      <c r="N819" t="s">
        <v>252</v>
      </c>
    </row>
    <row r="820" spans="1:14" ht="12.75">
      <c r="A820" t="str">
        <f>HYPERLINK("http://www.onsemi.com/PowerSolutions/product.do?id=PZT2222AT1G","PZT2222AT1G")</f>
        <v>PZT2222AT1G</v>
      </c>
      <c r="B820" t="str">
        <f>HYPERLINK("http://www.onsemi.com/pub/Collateral/PZT2222AT1-D.PDF","PZT2222AT1/D (43.0kB)")</f>
        <v>PZT2222AT1/D (43.0kB)</v>
      </c>
      <c r="C820" t="s">
        <v>19</v>
      </c>
      <c r="D820" t="s">
        <v>70</v>
      </c>
      <c r="E820" t="s">
        <v>535</v>
      </c>
      <c r="F820" t="s">
        <v>104</v>
      </c>
      <c r="G820" t="s">
        <v>41</v>
      </c>
      <c r="H820" t="s">
        <v>23</v>
      </c>
      <c r="I820" t="s">
        <v>48</v>
      </c>
      <c r="J820" t="s">
        <v>48</v>
      </c>
      <c r="K820" t="s">
        <v>176</v>
      </c>
      <c r="L820" t="s">
        <v>50</v>
      </c>
      <c r="M820" t="s">
        <v>28</v>
      </c>
      <c r="N820" t="s">
        <v>252</v>
      </c>
    </row>
    <row r="821" spans="1:14" ht="12.75">
      <c r="A821" t="str">
        <f>HYPERLINK("http://www.onsemi.com/PowerSolutions/product.do?id=PZT2222AT3","PZT2222AT3")</f>
        <v>PZT2222AT3</v>
      </c>
      <c r="B821" t="str">
        <f>HYPERLINK("http://www.onsemi.com/pub/Collateral/PZT2222AT1-D.PDF","PZT2222AT1/D (43.0kB)")</f>
        <v>PZT2222AT1/D (43.0kB)</v>
      </c>
      <c r="C821" t="s">
        <v>69</v>
      </c>
      <c r="D821" t="s">
        <v>70</v>
      </c>
      <c r="E821" t="s">
        <v>535</v>
      </c>
      <c r="F821" t="s">
        <v>104</v>
      </c>
      <c r="G821" t="s">
        <v>41</v>
      </c>
      <c r="H821" t="s">
        <v>23</v>
      </c>
      <c r="I821" t="s">
        <v>48</v>
      </c>
      <c r="J821" t="s">
        <v>48</v>
      </c>
      <c r="K821" t="s">
        <v>176</v>
      </c>
      <c r="L821" t="s">
        <v>50</v>
      </c>
      <c r="M821" t="s">
        <v>28</v>
      </c>
      <c r="N821" t="s">
        <v>252</v>
      </c>
    </row>
    <row r="822" spans="1:14" ht="12.75">
      <c r="A822" t="str">
        <f>HYPERLINK("http://www.onsemi.com/PowerSolutions/product.do?id=PZT2222AT3G","PZT2222AT3G")</f>
        <v>PZT2222AT3G</v>
      </c>
      <c r="B822" t="str">
        <f>HYPERLINK("http://www.onsemi.com/pub/Collateral/PZT2222AT1-D.PDF","PZT2222AT1/D (43.0kB)")</f>
        <v>PZT2222AT1/D (43.0kB)</v>
      </c>
      <c r="C822" t="s">
        <v>19</v>
      </c>
      <c r="D822" t="s">
        <v>70</v>
      </c>
      <c r="E822" t="s">
        <v>535</v>
      </c>
      <c r="F822" t="s">
        <v>104</v>
      </c>
      <c r="G822" t="s">
        <v>41</v>
      </c>
      <c r="H822" t="s">
        <v>23</v>
      </c>
      <c r="I822" t="s">
        <v>48</v>
      </c>
      <c r="J822" t="s">
        <v>48</v>
      </c>
      <c r="K822" t="s">
        <v>176</v>
      </c>
      <c r="L822" t="s">
        <v>50</v>
      </c>
      <c r="M822" t="s">
        <v>28</v>
      </c>
      <c r="N822" t="s">
        <v>252</v>
      </c>
    </row>
    <row r="823" spans="1:14" ht="12.75">
      <c r="A823" t="str">
        <f>HYPERLINK("http://www.onsemi.com/PowerSolutions/product.do?id=PZT2907AT1","PZT2907AT1")</f>
        <v>PZT2907AT1</v>
      </c>
      <c r="B823" t="str">
        <f>HYPERLINK("http://www.onsemi.com/pub/Collateral/PZT2907AT1-D.PDF","PZT2907AT1/D (133.0kB)")</f>
        <v>PZT2907AT1/D (133.0kB)</v>
      </c>
      <c r="C823" t="s">
        <v>69</v>
      </c>
      <c r="D823" t="s">
        <v>70</v>
      </c>
      <c r="E823" t="s">
        <v>536</v>
      </c>
      <c r="F823" t="s">
        <v>104</v>
      </c>
      <c r="G823" t="s">
        <v>73</v>
      </c>
      <c r="H823" t="s">
        <v>23</v>
      </c>
      <c r="I823" t="s">
        <v>48</v>
      </c>
      <c r="J823" t="s">
        <v>33</v>
      </c>
      <c r="K823" t="s">
        <v>176</v>
      </c>
      <c r="L823" t="s">
        <v>59</v>
      </c>
      <c r="M823" t="s">
        <v>28</v>
      </c>
      <c r="N823" t="s">
        <v>252</v>
      </c>
    </row>
    <row r="824" spans="1:14" ht="12.75">
      <c r="A824" t="str">
        <f>HYPERLINK("http://www.onsemi.com/PowerSolutions/product.do?id=PZT2907AT1G","PZT2907AT1G")</f>
        <v>PZT2907AT1G</v>
      </c>
      <c r="B824" t="str">
        <f>HYPERLINK("http://www.onsemi.com/pub/Collateral/PZT2907AT1-D.PDF","PZT2907AT1/D (133.0kB)")</f>
        <v>PZT2907AT1/D (133.0kB)</v>
      </c>
      <c r="C824" t="s">
        <v>19</v>
      </c>
      <c r="D824" t="s">
        <v>70</v>
      </c>
      <c r="E824" t="s">
        <v>536</v>
      </c>
      <c r="F824" t="s">
        <v>104</v>
      </c>
      <c r="G824" t="s">
        <v>73</v>
      </c>
      <c r="H824" t="s">
        <v>23</v>
      </c>
      <c r="I824" t="s">
        <v>48</v>
      </c>
      <c r="J824" t="s">
        <v>33</v>
      </c>
      <c r="K824" t="s">
        <v>176</v>
      </c>
      <c r="L824" t="s">
        <v>59</v>
      </c>
      <c r="M824" t="s">
        <v>28</v>
      </c>
      <c r="N824" t="s">
        <v>252</v>
      </c>
    </row>
    <row r="825" spans="1:14" ht="12.75">
      <c r="A825" t="str">
        <f>HYPERLINK("http://www.onsemi.com/PowerSolutions/product.do?id=PZT2907AT3G","PZT2907AT3G")</f>
        <v>PZT2907AT3G</v>
      </c>
      <c r="B825" t="str">
        <f>HYPERLINK("http://www.onsemi.com/pub/Collateral/PZT2907AT1-D.PDF","PZT2907AT1/D (133.0kB)")</f>
        <v>PZT2907AT1/D (133.0kB)</v>
      </c>
      <c r="C825" t="s">
        <v>19</v>
      </c>
      <c r="D825" t="s">
        <v>70</v>
      </c>
      <c r="E825" t="s">
        <v>536</v>
      </c>
      <c r="F825" t="s">
        <v>104</v>
      </c>
      <c r="G825" t="s">
        <v>73</v>
      </c>
      <c r="H825" t="s">
        <v>23</v>
      </c>
      <c r="I825" t="s">
        <v>48</v>
      </c>
      <c r="J825" t="s">
        <v>33</v>
      </c>
      <c r="K825" t="s">
        <v>176</v>
      </c>
      <c r="L825" t="s">
        <v>59</v>
      </c>
      <c r="M825" t="s">
        <v>28</v>
      </c>
      <c r="N825" t="s">
        <v>252</v>
      </c>
    </row>
    <row r="826" spans="1:14" ht="12.75">
      <c r="A826" t="str">
        <f>HYPERLINK("http://www.onsemi.com/PowerSolutions/product.do?id=PZT3904T1","PZT3904T1")</f>
        <v>PZT3904T1</v>
      </c>
      <c r="B826" t="str">
        <f>HYPERLINK("http://www.onsemi.com/pub/Collateral/PZT3904T1-D.PDF","PZT3904T1/D (181.0kB)")</f>
        <v>PZT3904T1/D (181.0kB)</v>
      </c>
      <c r="C826" t="s">
        <v>69</v>
      </c>
      <c r="D826" t="s">
        <v>70</v>
      </c>
      <c r="E826" t="s">
        <v>95</v>
      </c>
      <c r="F826" t="s">
        <v>47</v>
      </c>
      <c r="G826" t="s">
        <v>41</v>
      </c>
      <c r="H826" t="s">
        <v>23</v>
      </c>
      <c r="I826" t="s">
        <v>48</v>
      </c>
      <c r="J826" t="s">
        <v>48</v>
      </c>
      <c r="K826" t="s">
        <v>176</v>
      </c>
      <c r="L826" t="s">
        <v>50</v>
      </c>
      <c r="M826" t="s">
        <v>28</v>
      </c>
      <c r="N826" t="s">
        <v>252</v>
      </c>
    </row>
    <row r="827" spans="1:14" ht="12.75">
      <c r="A827" t="str">
        <f>HYPERLINK("http://www.onsemi.com/PowerSolutions/product.do?id=PZT3904T1G","PZT3904T1G")</f>
        <v>PZT3904T1G</v>
      </c>
      <c r="B827" t="str">
        <f>HYPERLINK("http://www.onsemi.com/pub/Collateral/PZT3904T1-D.PDF","PZT3904T1/D (181.0kB)")</f>
        <v>PZT3904T1/D (181.0kB)</v>
      </c>
      <c r="C827" t="s">
        <v>19</v>
      </c>
      <c r="D827" t="s">
        <v>70</v>
      </c>
      <c r="E827" t="s">
        <v>95</v>
      </c>
      <c r="F827" t="s">
        <v>47</v>
      </c>
      <c r="G827" t="s">
        <v>41</v>
      </c>
      <c r="H827" t="s">
        <v>23</v>
      </c>
      <c r="I827" t="s">
        <v>48</v>
      </c>
      <c r="J827" t="s">
        <v>48</v>
      </c>
      <c r="K827" t="s">
        <v>176</v>
      </c>
      <c r="L827" t="s">
        <v>50</v>
      </c>
      <c r="M827" t="s">
        <v>28</v>
      </c>
      <c r="N827" t="s">
        <v>252</v>
      </c>
    </row>
    <row r="828" spans="1:14" ht="12.75">
      <c r="A828" t="str">
        <f>HYPERLINK("http://www.onsemi.com/PowerSolutions/product.do?id=PZT651T1","PZT651T1")</f>
        <v>PZT651T1</v>
      </c>
      <c r="B828" t="str">
        <f>HYPERLINK("http://www.onsemi.com/pub/Collateral/PZT651T1-D.PDF","PZT651T1/D (82.0kB)")</f>
        <v>PZT651T1/D (82.0kB)</v>
      </c>
      <c r="C828" t="s">
        <v>69</v>
      </c>
      <c r="D828" t="s">
        <v>70</v>
      </c>
      <c r="E828" t="s">
        <v>537</v>
      </c>
      <c r="F828" t="s">
        <v>26</v>
      </c>
      <c r="G828" t="s">
        <v>73</v>
      </c>
      <c r="H828" t="s">
        <v>41</v>
      </c>
      <c r="J828" t="s">
        <v>164</v>
      </c>
      <c r="K828" t="s">
        <v>195</v>
      </c>
      <c r="L828" t="s">
        <v>50</v>
      </c>
      <c r="M828" t="s">
        <v>28</v>
      </c>
      <c r="N828" t="s">
        <v>538</v>
      </c>
    </row>
    <row r="829" spans="1:14" ht="12.75">
      <c r="A829" t="str">
        <f>HYPERLINK("http://www.onsemi.com/PowerSolutions/product.do?id=PZT651T1G","PZT651T1G")</f>
        <v>PZT651T1G</v>
      </c>
      <c r="B829" t="str">
        <f>HYPERLINK("http://www.onsemi.com/pub/Collateral/PZT651T1-D.PDF","PZT651T1/D (82.0kB)")</f>
        <v>PZT651T1/D (82.0kB)</v>
      </c>
      <c r="C829" t="s">
        <v>19</v>
      </c>
      <c r="D829" t="s">
        <v>70</v>
      </c>
      <c r="E829" t="s">
        <v>537</v>
      </c>
      <c r="F829" t="s">
        <v>26</v>
      </c>
      <c r="G829" t="s">
        <v>73</v>
      </c>
      <c r="H829" t="s">
        <v>41</v>
      </c>
      <c r="J829" t="s">
        <v>164</v>
      </c>
      <c r="K829" t="s">
        <v>195</v>
      </c>
      <c r="L829" t="s">
        <v>50</v>
      </c>
      <c r="M829" t="s">
        <v>28</v>
      </c>
      <c r="N829" t="s">
        <v>538</v>
      </c>
    </row>
    <row r="830" spans="1:14" ht="12.75">
      <c r="A830" t="str">
        <f>HYPERLINK("http://www.onsemi.com/PowerSolutions/product.do?id=PZT751T1","PZT751T1")</f>
        <v>PZT751T1</v>
      </c>
      <c r="B830" t="str">
        <f>HYPERLINK("http://www.onsemi.com/pub/Collateral/PZT751T1-D.PDF","PZT751T1/D (81.0kB)")</f>
        <v>PZT751T1/D (81.0kB)</v>
      </c>
      <c r="C830" t="s">
        <v>69</v>
      </c>
      <c r="D830" t="s">
        <v>70</v>
      </c>
      <c r="E830" t="s">
        <v>537</v>
      </c>
      <c r="F830" t="s">
        <v>26</v>
      </c>
      <c r="G830" t="s">
        <v>73</v>
      </c>
      <c r="H830" t="s">
        <v>41</v>
      </c>
      <c r="J830" t="s">
        <v>164</v>
      </c>
      <c r="K830" t="s">
        <v>195</v>
      </c>
      <c r="L830" t="s">
        <v>59</v>
      </c>
      <c r="M830" t="s">
        <v>28</v>
      </c>
      <c r="N830" t="s">
        <v>538</v>
      </c>
    </row>
    <row r="831" spans="1:14" ht="12.75">
      <c r="A831" t="str">
        <f>HYPERLINK("http://www.onsemi.com/PowerSolutions/product.do?id=PZT751T1G","PZT751T1G")</f>
        <v>PZT751T1G</v>
      </c>
      <c r="B831" t="str">
        <f>HYPERLINK("http://www.onsemi.com/pub/Collateral/PZT751T1-D.PDF","PZT751T1/D (81.0kB)")</f>
        <v>PZT751T1/D (81.0kB)</v>
      </c>
      <c r="C831" t="s">
        <v>19</v>
      </c>
      <c r="D831" t="s">
        <v>70</v>
      </c>
      <c r="E831" t="s">
        <v>537</v>
      </c>
      <c r="F831" t="s">
        <v>26</v>
      </c>
      <c r="G831" t="s">
        <v>73</v>
      </c>
      <c r="H831" t="s">
        <v>41</v>
      </c>
      <c r="J831" t="s">
        <v>164</v>
      </c>
      <c r="K831" t="s">
        <v>195</v>
      </c>
      <c r="L831" t="s">
        <v>59</v>
      </c>
      <c r="M831" t="s">
        <v>28</v>
      </c>
      <c r="N831" t="s">
        <v>538</v>
      </c>
    </row>
    <row r="832" spans="1:14" ht="12.75">
      <c r="A832" t="str">
        <f>HYPERLINK("http://www.onsemi.com/PowerSolutions/product.do?id=PZTA42T1","PZTA42T1")</f>
        <v>PZTA42T1</v>
      </c>
      <c r="B832" t="str">
        <f>HYPERLINK("http://www.onsemi.com/pub/Collateral/PZTA42T1-D.PDF","PZTA42T1/D (101.0kB)")</f>
        <v>PZTA42T1/D (101.0kB)</v>
      </c>
      <c r="C832" t="s">
        <v>69</v>
      </c>
      <c r="D832" t="s">
        <v>70</v>
      </c>
      <c r="E832" t="s">
        <v>539</v>
      </c>
      <c r="F832" t="s">
        <v>119</v>
      </c>
      <c r="G832" t="s">
        <v>48</v>
      </c>
      <c r="H832" t="s">
        <v>41</v>
      </c>
      <c r="J832" t="s">
        <v>120</v>
      </c>
      <c r="K832" t="s">
        <v>176</v>
      </c>
      <c r="L832" t="s">
        <v>50</v>
      </c>
      <c r="M832" t="s">
        <v>28</v>
      </c>
      <c r="N832" t="s">
        <v>252</v>
      </c>
    </row>
    <row r="833" spans="1:14" ht="12.75">
      <c r="A833" t="str">
        <f>HYPERLINK("http://www.onsemi.com/PowerSolutions/product.do?id=PZTA42T1G","PZTA42T1G")</f>
        <v>PZTA42T1G</v>
      </c>
      <c r="B833" t="str">
        <f>HYPERLINK("http://www.onsemi.com/pub/Collateral/PZTA42T1-D.PDF","PZTA42T1/D (101.0kB)")</f>
        <v>PZTA42T1/D (101.0kB)</v>
      </c>
      <c r="C833" t="s">
        <v>19</v>
      </c>
      <c r="D833" t="s">
        <v>70</v>
      </c>
      <c r="E833" t="s">
        <v>539</v>
      </c>
      <c r="F833" t="s">
        <v>119</v>
      </c>
      <c r="G833" t="s">
        <v>48</v>
      </c>
      <c r="H833" t="s">
        <v>41</v>
      </c>
      <c r="J833" t="s">
        <v>120</v>
      </c>
      <c r="K833" t="s">
        <v>176</v>
      </c>
      <c r="L833" t="s">
        <v>50</v>
      </c>
      <c r="M833" t="s">
        <v>28</v>
      </c>
      <c r="N833" t="s">
        <v>252</v>
      </c>
    </row>
    <row r="834" spans="1:14" ht="12.75">
      <c r="A834" t="str">
        <f>HYPERLINK("http://www.onsemi.com/PowerSolutions/product.do?id=PZTA92T1G","PZTA92T1G")</f>
        <v>PZTA92T1G</v>
      </c>
      <c r="B834" t="str">
        <f>HYPERLINK("http://www.onsemi.com/pub/Collateral/PZTA92T1-D.PDF","PZTA92T1/D (103.0kB)")</f>
        <v>PZTA92T1/D (103.0kB)</v>
      </c>
      <c r="C834" t="s">
        <v>19</v>
      </c>
      <c r="D834" t="s">
        <v>70</v>
      </c>
      <c r="E834" t="s">
        <v>540</v>
      </c>
      <c r="F834" t="s">
        <v>135</v>
      </c>
      <c r="G834" t="s">
        <v>48</v>
      </c>
      <c r="H834" t="s">
        <v>102</v>
      </c>
      <c r="J834" t="s">
        <v>120</v>
      </c>
      <c r="K834" t="s">
        <v>176</v>
      </c>
      <c r="L834" t="s">
        <v>59</v>
      </c>
      <c r="M834" t="s">
        <v>28</v>
      </c>
      <c r="N834" t="s">
        <v>252</v>
      </c>
    </row>
    <row r="835" spans="1:14" ht="12.75">
      <c r="A835" t="str">
        <f>HYPERLINK("http://www.onsemi.com/PowerSolutions/product.do?id=PZTA96ST1G","PZTA96ST1G")</f>
        <v>PZTA96ST1G</v>
      </c>
      <c r="B835" t="str">
        <f>HYPERLINK("http://www.onsemi.com/pub/Collateral/PZTA96ST1-D.PDF","PZTA96ST1/D (44.0kB)")</f>
        <v>PZTA96ST1/D (44.0kB)</v>
      </c>
      <c r="C835" t="s">
        <v>19</v>
      </c>
      <c r="D835" t="s">
        <v>70</v>
      </c>
      <c r="E835" t="s">
        <v>540</v>
      </c>
      <c r="F835" t="s">
        <v>135</v>
      </c>
      <c r="G835" t="s">
        <v>65</v>
      </c>
      <c r="H835" t="s">
        <v>120</v>
      </c>
      <c r="I835" t="s">
        <v>88</v>
      </c>
      <c r="K835" t="s">
        <v>176</v>
      </c>
      <c r="L835" t="s">
        <v>59</v>
      </c>
      <c r="M835" t="s">
        <v>28</v>
      </c>
      <c r="N835" t="s">
        <v>293</v>
      </c>
    </row>
    <row r="836" spans="1:14" ht="12.75">
      <c r="A836" t="str">
        <f>HYPERLINK("http://www.onsemi.com/PowerSolutions/product.do?id=TIP2955G","TIP2955G")</f>
        <v>TIP2955G</v>
      </c>
      <c r="B836" t="str">
        <f>HYPERLINK("http://www.onsemi.com/pub/Collateral/TIP3055-D.PDF","TIP3055/D (61.0kB)")</f>
        <v>TIP3055/D (61.0kB)</v>
      </c>
      <c r="C836" t="s">
        <v>19</v>
      </c>
      <c r="D836" t="s">
        <v>70</v>
      </c>
      <c r="E836" t="s">
        <v>168</v>
      </c>
      <c r="F836" t="s">
        <v>72</v>
      </c>
      <c r="G836" t="s">
        <v>73</v>
      </c>
      <c r="H836" t="s">
        <v>32</v>
      </c>
      <c r="I836" t="s">
        <v>74</v>
      </c>
      <c r="J836" t="s">
        <v>75</v>
      </c>
      <c r="K836" t="s">
        <v>111</v>
      </c>
      <c r="L836" t="s">
        <v>59</v>
      </c>
      <c r="M836" t="s">
        <v>396</v>
      </c>
      <c r="N836" t="s">
        <v>413</v>
      </c>
    </row>
    <row r="837" spans="1:14" ht="12.75">
      <c r="A837" t="str">
        <f>HYPERLINK("http://www.onsemi.com/PowerSolutions/product.do?id=TIP29AG","TIP29AG")</f>
        <v>TIP29AG</v>
      </c>
      <c r="B837" t="str">
        <f>HYPERLINK("http://www.onsemi.com/pub/Collateral/TIP29B-D.PDF","TIP29B/D (83.0kB)")</f>
        <v>TIP29B/D (83.0kB)</v>
      </c>
      <c r="C837" t="s">
        <v>19</v>
      </c>
      <c r="D837" t="s">
        <v>70</v>
      </c>
      <c r="E837" t="s">
        <v>541</v>
      </c>
      <c r="F837" t="s">
        <v>31</v>
      </c>
      <c r="G837" t="s">
        <v>73</v>
      </c>
      <c r="H837" t="s">
        <v>72</v>
      </c>
      <c r="I837" t="s">
        <v>164</v>
      </c>
      <c r="J837" t="s">
        <v>22</v>
      </c>
      <c r="K837" t="s">
        <v>86</v>
      </c>
      <c r="L837" t="s">
        <v>50</v>
      </c>
      <c r="M837" t="s">
        <v>153</v>
      </c>
      <c r="N837" t="s">
        <v>283</v>
      </c>
    </row>
    <row r="838" spans="1:14" ht="12.75">
      <c r="A838" t="str">
        <f>HYPERLINK("http://www.onsemi.com/PowerSolutions/product.do?id=TIP29BG","TIP29BG")</f>
        <v>TIP29BG</v>
      </c>
      <c r="B838" t="str">
        <f>HYPERLINK("http://www.onsemi.com/pub/Collateral/TIP29B-D.PDF","TIP29B/D (83.0kB)")</f>
        <v>TIP29B/D (83.0kB)</v>
      </c>
      <c r="C838" t="s">
        <v>19</v>
      </c>
      <c r="D838" t="s">
        <v>70</v>
      </c>
      <c r="E838" t="s">
        <v>542</v>
      </c>
      <c r="F838" t="s">
        <v>31</v>
      </c>
      <c r="G838" t="s">
        <v>111</v>
      </c>
      <c r="H838" t="s">
        <v>72</v>
      </c>
      <c r="I838" t="s">
        <v>164</v>
      </c>
      <c r="J838" t="s">
        <v>22</v>
      </c>
      <c r="K838" t="s">
        <v>86</v>
      </c>
      <c r="L838" t="s">
        <v>50</v>
      </c>
      <c r="M838" t="s">
        <v>153</v>
      </c>
      <c r="N838" t="s">
        <v>283</v>
      </c>
    </row>
    <row r="839" spans="1:14" ht="12.75">
      <c r="A839" t="str">
        <f>HYPERLINK("http://www.onsemi.com/PowerSolutions/product.do?id=TIP29C","TIP29C")</f>
        <v>TIP29C</v>
      </c>
      <c r="B839" t="str">
        <f>HYPERLINK("http://www.onsemi.com/pub/Collateral/TIP29B-D.PDF","TIP29B/D (83.0kB)")</f>
        <v>TIP29B/D (83.0kB)</v>
      </c>
      <c r="C839" t="s">
        <v>69</v>
      </c>
      <c r="D839" t="s">
        <v>70</v>
      </c>
      <c r="E839" t="s">
        <v>543</v>
      </c>
      <c r="F839" t="s">
        <v>31</v>
      </c>
      <c r="G839" t="s">
        <v>23</v>
      </c>
      <c r="H839" t="s">
        <v>72</v>
      </c>
      <c r="I839" t="s">
        <v>164</v>
      </c>
      <c r="J839" t="s">
        <v>22</v>
      </c>
      <c r="K839" t="s">
        <v>86</v>
      </c>
      <c r="L839" t="s">
        <v>50</v>
      </c>
      <c r="M839" t="s">
        <v>153</v>
      </c>
      <c r="N839" t="s">
        <v>283</v>
      </c>
    </row>
    <row r="840" spans="1:14" ht="12.75">
      <c r="A840" t="str">
        <f>HYPERLINK("http://www.onsemi.com/PowerSolutions/product.do?id=TIP29CG","TIP29CG")</f>
        <v>TIP29CG</v>
      </c>
      <c r="B840" t="str">
        <f>HYPERLINK("http://www.onsemi.com/pub/Collateral/TIP29B-D.PDF","TIP29B/D (83.0kB)")</f>
        <v>TIP29B/D (83.0kB)</v>
      </c>
      <c r="C840" t="s">
        <v>19</v>
      </c>
      <c r="D840" t="s">
        <v>70</v>
      </c>
      <c r="E840" t="s">
        <v>543</v>
      </c>
      <c r="F840" t="s">
        <v>31</v>
      </c>
      <c r="G840" t="s">
        <v>23</v>
      </c>
      <c r="H840" t="s">
        <v>72</v>
      </c>
      <c r="I840" t="s">
        <v>164</v>
      </c>
      <c r="J840" t="s">
        <v>22</v>
      </c>
      <c r="K840" t="s">
        <v>86</v>
      </c>
      <c r="L840" t="s">
        <v>50</v>
      </c>
      <c r="M840" t="s">
        <v>153</v>
      </c>
      <c r="N840" t="s">
        <v>283</v>
      </c>
    </row>
    <row r="841" spans="1:14" ht="12.75">
      <c r="A841" t="str">
        <f>HYPERLINK("http://www.onsemi.com/PowerSolutions/product.do?id=TIP3055G","TIP3055G")</f>
        <v>TIP3055G</v>
      </c>
      <c r="B841" t="str">
        <f>HYPERLINK("http://www.onsemi.com/pub/Collateral/TIP3055-D.PDF","TIP3055/D (61.0kB)")</f>
        <v>TIP3055/D (61.0kB)</v>
      </c>
      <c r="C841" t="s">
        <v>19</v>
      </c>
      <c r="D841" t="s">
        <v>70</v>
      </c>
      <c r="E841" t="s">
        <v>71</v>
      </c>
      <c r="F841" t="s">
        <v>72</v>
      </c>
      <c r="G841" t="s">
        <v>73</v>
      </c>
      <c r="H841" t="s">
        <v>32</v>
      </c>
      <c r="I841" t="s">
        <v>74</v>
      </c>
      <c r="J841" t="s">
        <v>75</v>
      </c>
      <c r="K841" t="s">
        <v>111</v>
      </c>
      <c r="L841" t="s">
        <v>50</v>
      </c>
      <c r="M841" t="s">
        <v>396</v>
      </c>
      <c r="N841" t="s">
        <v>418</v>
      </c>
    </row>
    <row r="842" spans="1:14" ht="12.75">
      <c r="A842" t="str">
        <f>HYPERLINK("http://www.onsemi.com/PowerSolutions/product.do?id=TIP30C","TIP30C")</f>
        <v>TIP30C</v>
      </c>
      <c r="B842" t="str">
        <f>HYPERLINK("http://www.onsemi.com/pub/Collateral/TIP29B-D.PDF","TIP29B/D (83.0kB)")</f>
        <v>TIP29B/D (83.0kB)</v>
      </c>
      <c r="C842" t="s">
        <v>69</v>
      </c>
      <c r="D842" t="s">
        <v>70</v>
      </c>
      <c r="E842" t="s">
        <v>544</v>
      </c>
      <c r="F842" t="s">
        <v>31</v>
      </c>
      <c r="G842" t="s">
        <v>23</v>
      </c>
      <c r="H842" t="s">
        <v>72</v>
      </c>
      <c r="I842" t="s">
        <v>164</v>
      </c>
      <c r="J842" t="s">
        <v>22</v>
      </c>
      <c r="K842" t="s">
        <v>86</v>
      </c>
      <c r="L842" t="s">
        <v>59</v>
      </c>
      <c r="M842" t="s">
        <v>153</v>
      </c>
      <c r="N842" t="s">
        <v>109</v>
      </c>
    </row>
    <row r="843" spans="1:14" ht="12.75">
      <c r="A843" t="str">
        <f>HYPERLINK("http://www.onsemi.com/PowerSolutions/product.do?id=TIP30CG","TIP30CG")</f>
        <v>TIP30CG</v>
      </c>
      <c r="B843" t="str">
        <f>HYPERLINK("http://www.onsemi.com/pub/Collateral/TIP29B-D.PDF","TIP29B/D (83.0kB)")</f>
        <v>TIP29B/D (83.0kB)</v>
      </c>
      <c r="C843" t="s">
        <v>19</v>
      </c>
      <c r="D843" t="s">
        <v>70</v>
      </c>
      <c r="E843" t="s">
        <v>544</v>
      </c>
      <c r="F843" t="s">
        <v>31</v>
      </c>
      <c r="G843" t="s">
        <v>23</v>
      </c>
      <c r="H843" t="s">
        <v>72</v>
      </c>
      <c r="I843" t="s">
        <v>164</v>
      </c>
      <c r="J843" t="s">
        <v>22</v>
      </c>
      <c r="K843" t="s">
        <v>86</v>
      </c>
      <c r="L843" t="s">
        <v>59</v>
      </c>
      <c r="M843" t="s">
        <v>153</v>
      </c>
      <c r="N843" t="s">
        <v>109</v>
      </c>
    </row>
    <row r="844" spans="1:14" ht="12.75">
      <c r="A844" t="str">
        <f>HYPERLINK("http://www.onsemi.com/PowerSolutions/product.do?id=TIP31A","TIP31A")</f>
        <v>TIP31A</v>
      </c>
      <c r="B844" t="str">
        <f aca="true" t="shared" si="31" ref="B844:B857">HYPERLINK("http://www.onsemi.com/pub/Collateral/TIP31A-D.PDF","TIP31A/D (99.0kB)")</f>
        <v>TIP31A/D (99.0kB)</v>
      </c>
      <c r="C844" t="s">
        <v>69</v>
      </c>
      <c r="D844" t="s">
        <v>70</v>
      </c>
      <c r="E844" t="s">
        <v>114</v>
      </c>
      <c r="F844" t="s">
        <v>22</v>
      </c>
      <c r="G844" t="s">
        <v>73</v>
      </c>
      <c r="H844" t="s">
        <v>79</v>
      </c>
      <c r="I844" t="s">
        <v>120</v>
      </c>
      <c r="J844" t="s">
        <v>22</v>
      </c>
      <c r="K844" t="s">
        <v>41</v>
      </c>
      <c r="L844" t="s">
        <v>50</v>
      </c>
      <c r="M844" t="s">
        <v>153</v>
      </c>
      <c r="N844" t="s">
        <v>275</v>
      </c>
    </row>
    <row r="845" spans="1:14" ht="12.75">
      <c r="A845" t="str">
        <f>HYPERLINK("http://www.onsemi.com/PowerSolutions/product.do?id=TIP31AG","TIP31AG")</f>
        <v>TIP31AG</v>
      </c>
      <c r="B845" t="str">
        <f t="shared" si="31"/>
        <v>TIP31A/D (99.0kB)</v>
      </c>
      <c r="C845" t="s">
        <v>19</v>
      </c>
      <c r="D845" t="s">
        <v>70</v>
      </c>
      <c r="E845" t="s">
        <v>114</v>
      </c>
      <c r="F845" t="s">
        <v>22</v>
      </c>
      <c r="G845" t="s">
        <v>73</v>
      </c>
      <c r="H845" t="s">
        <v>79</v>
      </c>
      <c r="I845" t="s">
        <v>120</v>
      </c>
      <c r="J845" t="s">
        <v>22</v>
      </c>
      <c r="K845" t="s">
        <v>41</v>
      </c>
      <c r="L845" t="s">
        <v>50</v>
      </c>
      <c r="M845" t="s">
        <v>153</v>
      </c>
      <c r="N845" t="s">
        <v>275</v>
      </c>
    </row>
    <row r="846" spans="1:14" ht="12.75">
      <c r="A846" t="str">
        <f>HYPERLINK("http://www.onsemi.com/PowerSolutions/product.do?id=TIP31B","TIP31B")</f>
        <v>TIP31B</v>
      </c>
      <c r="B846" t="str">
        <f t="shared" si="31"/>
        <v>TIP31A/D (99.0kB)</v>
      </c>
      <c r="C846" t="s">
        <v>69</v>
      </c>
      <c r="D846" t="s">
        <v>70</v>
      </c>
      <c r="E846" t="s">
        <v>115</v>
      </c>
      <c r="F846" t="s">
        <v>22</v>
      </c>
      <c r="G846" t="s">
        <v>111</v>
      </c>
      <c r="H846" t="s">
        <v>79</v>
      </c>
      <c r="I846" t="s">
        <v>120</v>
      </c>
      <c r="J846" t="s">
        <v>22</v>
      </c>
      <c r="K846" t="s">
        <v>41</v>
      </c>
      <c r="L846" t="s">
        <v>50</v>
      </c>
      <c r="M846" t="s">
        <v>153</v>
      </c>
      <c r="N846" t="s">
        <v>275</v>
      </c>
    </row>
    <row r="847" spans="1:14" ht="12.75">
      <c r="A847" t="str">
        <f>HYPERLINK("http://www.onsemi.com/PowerSolutions/product.do?id=TIP31BG","TIP31BG")</f>
        <v>TIP31BG</v>
      </c>
      <c r="B847" t="str">
        <f t="shared" si="31"/>
        <v>TIP31A/D (99.0kB)</v>
      </c>
      <c r="C847" t="s">
        <v>19</v>
      </c>
      <c r="D847" t="s">
        <v>70</v>
      </c>
      <c r="E847" t="s">
        <v>115</v>
      </c>
      <c r="F847" t="s">
        <v>22</v>
      </c>
      <c r="G847" t="s">
        <v>111</v>
      </c>
      <c r="H847" t="s">
        <v>79</v>
      </c>
      <c r="I847" t="s">
        <v>120</v>
      </c>
      <c r="J847" t="s">
        <v>22</v>
      </c>
      <c r="K847" t="s">
        <v>41</v>
      </c>
      <c r="L847" t="s">
        <v>50</v>
      </c>
      <c r="M847" t="s">
        <v>153</v>
      </c>
      <c r="N847" t="s">
        <v>275</v>
      </c>
    </row>
    <row r="848" spans="1:14" ht="12.75">
      <c r="A848" t="str">
        <f>HYPERLINK("http://www.onsemi.com/PowerSolutions/product.do?id=TIP31C","TIP31C")</f>
        <v>TIP31C</v>
      </c>
      <c r="B848" t="str">
        <f t="shared" si="31"/>
        <v>TIP31A/D (99.0kB)</v>
      </c>
      <c r="C848" t="s">
        <v>69</v>
      </c>
      <c r="D848" t="s">
        <v>70</v>
      </c>
      <c r="E848" t="s">
        <v>274</v>
      </c>
      <c r="F848" t="s">
        <v>22</v>
      </c>
      <c r="G848" t="s">
        <v>23</v>
      </c>
      <c r="H848" t="s">
        <v>79</v>
      </c>
      <c r="I848" t="s">
        <v>120</v>
      </c>
      <c r="J848" t="s">
        <v>22</v>
      </c>
      <c r="K848" t="s">
        <v>41</v>
      </c>
      <c r="L848" t="s">
        <v>50</v>
      </c>
      <c r="M848" t="s">
        <v>153</v>
      </c>
      <c r="N848" t="s">
        <v>275</v>
      </c>
    </row>
    <row r="849" spans="1:14" ht="12.75">
      <c r="A849" t="str">
        <f>HYPERLINK("http://www.onsemi.com/PowerSolutions/product.do?id=TIP31CG","TIP31CG")</f>
        <v>TIP31CG</v>
      </c>
      <c r="B849" t="str">
        <f t="shared" si="31"/>
        <v>TIP31A/D (99.0kB)</v>
      </c>
      <c r="C849" t="s">
        <v>19</v>
      </c>
      <c r="D849" t="s">
        <v>70</v>
      </c>
      <c r="E849" t="s">
        <v>274</v>
      </c>
      <c r="F849" t="s">
        <v>22</v>
      </c>
      <c r="G849" t="s">
        <v>23</v>
      </c>
      <c r="H849" t="s">
        <v>79</v>
      </c>
      <c r="I849" t="s">
        <v>120</v>
      </c>
      <c r="J849" t="s">
        <v>22</v>
      </c>
      <c r="K849" t="s">
        <v>41</v>
      </c>
      <c r="L849" t="s">
        <v>50</v>
      </c>
      <c r="M849" t="s">
        <v>153</v>
      </c>
      <c r="N849" t="s">
        <v>275</v>
      </c>
    </row>
    <row r="850" spans="1:14" ht="12.75">
      <c r="A850" t="str">
        <f>HYPERLINK("http://www.onsemi.com/PowerSolutions/product.do?id=TIP31G","TIP31G")</f>
        <v>TIP31G</v>
      </c>
      <c r="B850" t="str">
        <f t="shared" si="31"/>
        <v>TIP31A/D (99.0kB)</v>
      </c>
      <c r="C850" t="s">
        <v>19</v>
      </c>
      <c r="D850" t="s">
        <v>70</v>
      </c>
      <c r="E850" t="s">
        <v>112</v>
      </c>
      <c r="F850" t="s">
        <v>22</v>
      </c>
      <c r="G850" t="s">
        <v>41</v>
      </c>
      <c r="H850" t="s">
        <v>79</v>
      </c>
      <c r="I850" t="s">
        <v>120</v>
      </c>
      <c r="J850" t="s">
        <v>22</v>
      </c>
      <c r="K850" t="s">
        <v>41</v>
      </c>
      <c r="L850" t="s">
        <v>50</v>
      </c>
      <c r="M850" t="s">
        <v>153</v>
      </c>
      <c r="N850" t="s">
        <v>275</v>
      </c>
    </row>
    <row r="851" spans="1:14" ht="12.75">
      <c r="A851" t="str">
        <f>HYPERLINK("http://www.onsemi.com/PowerSolutions/product.do?id=TIP32A","TIP32A")</f>
        <v>TIP32A</v>
      </c>
      <c r="B851" t="str">
        <f t="shared" si="31"/>
        <v>TIP31A/D (99.0kB)</v>
      </c>
      <c r="C851" t="s">
        <v>69</v>
      </c>
      <c r="D851" t="s">
        <v>70</v>
      </c>
      <c r="E851" t="s">
        <v>108</v>
      </c>
      <c r="F851" t="s">
        <v>22</v>
      </c>
      <c r="G851" t="s">
        <v>73</v>
      </c>
      <c r="H851" t="s">
        <v>79</v>
      </c>
      <c r="I851" t="s">
        <v>120</v>
      </c>
      <c r="J851" t="s">
        <v>22</v>
      </c>
      <c r="K851" t="s">
        <v>41</v>
      </c>
      <c r="L851" t="s">
        <v>59</v>
      </c>
      <c r="M851" t="s">
        <v>153</v>
      </c>
      <c r="N851" t="s">
        <v>109</v>
      </c>
    </row>
    <row r="852" spans="1:14" ht="12.75">
      <c r="A852" t="str">
        <f>HYPERLINK("http://www.onsemi.com/PowerSolutions/product.do?id=TIP32AG","TIP32AG")</f>
        <v>TIP32AG</v>
      </c>
      <c r="B852" t="str">
        <f t="shared" si="31"/>
        <v>TIP31A/D (99.0kB)</v>
      </c>
      <c r="C852" t="s">
        <v>19</v>
      </c>
      <c r="D852" t="s">
        <v>70</v>
      </c>
      <c r="E852" t="s">
        <v>108</v>
      </c>
      <c r="F852" t="s">
        <v>22</v>
      </c>
      <c r="G852" t="s">
        <v>73</v>
      </c>
      <c r="H852" t="s">
        <v>79</v>
      </c>
      <c r="I852" t="s">
        <v>120</v>
      </c>
      <c r="J852" t="s">
        <v>22</v>
      </c>
      <c r="K852" t="s">
        <v>41</v>
      </c>
      <c r="L852" t="s">
        <v>59</v>
      </c>
      <c r="M852" t="s">
        <v>153</v>
      </c>
      <c r="N852" t="s">
        <v>109</v>
      </c>
    </row>
    <row r="853" spans="1:14" ht="12.75">
      <c r="A853" t="str">
        <f>HYPERLINK("http://www.onsemi.com/PowerSolutions/product.do?id=TIP32B","TIP32B")</f>
        <v>TIP32B</v>
      </c>
      <c r="B853" t="str">
        <f t="shared" si="31"/>
        <v>TIP31A/D (99.0kB)</v>
      </c>
      <c r="C853" t="s">
        <v>69</v>
      </c>
      <c r="D853" t="s">
        <v>70</v>
      </c>
      <c r="E853" t="s">
        <v>110</v>
      </c>
      <c r="F853" t="s">
        <v>22</v>
      </c>
      <c r="G853" t="s">
        <v>111</v>
      </c>
      <c r="H853" t="s">
        <v>79</v>
      </c>
      <c r="I853" t="s">
        <v>120</v>
      </c>
      <c r="J853" t="s">
        <v>22</v>
      </c>
      <c r="K853" t="s">
        <v>41</v>
      </c>
      <c r="L853" t="s">
        <v>59</v>
      </c>
      <c r="M853" t="s">
        <v>153</v>
      </c>
      <c r="N853" t="s">
        <v>109</v>
      </c>
    </row>
    <row r="854" spans="1:14" ht="12.75">
      <c r="A854" t="str">
        <f>HYPERLINK("http://www.onsemi.com/PowerSolutions/product.do?id=TIP32BG","TIP32BG")</f>
        <v>TIP32BG</v>
      </c>
      <c r="B854" t="str">
        <f t="shared" si="31"/>
        <v>TIP31A/D (99.0kB)</v>
      </c>
      <c r="C854" t="s">
        <v>19</v>
      </c>
      <c r="D854" t="s">
        <v>70</v>
      </c>
      <c r="E854" t="s">
        <v>110</v>
      </c>
      <c r="F854" t="s">
        <v>22</v>
      </c>
      <c r="G854" t="s">
        <v>111</v>
      </c>
      <c r="H854" t="s">
        <v>79</v>
      </c>
      <c r="I854" t="s">
        <v>120</v>
      </c>
      <c r="J854" t="s">
        <v>22</v>
      </c>
      <c r="K854" t="s">
        <v>41</v>
      </c>
      <c r="L854" t="s">
        <v>59</v>
      </c>
      <c r="M854" t="s">
        <v>153</v>
      </c>
      <c r="N854" t="s">
        <v>109</v>
      </c>
    </row>
    <row r="855" spans="1:14" ht="12.75">
      <c r="A855" t="str">
        <f>HYPERLINK("http://www.onsemi.com/PowerSolutions/product.do?id=TIP32C","TIP32C")</f>
        <v>TIP32C</v>
      </c>
      <c r="B855" t="str">
        <f t="shared" si="31"/>
        <v>TIP31A/D (99.0kB)</v>
      </c>
      <c r="C855" t="s">
        <v>69</v>
      </c>
      <c r="D855" t="s">
        <v>70</v>
      </c>
      <c r="E855" t="s">
        <v>276</v>
      </c>
      <c r="F855" t="s">
        <v>22</v>
      </c>
      <c r="G855" t="s">
        <v>23</v>
      </c>
      <c r="H855" t="s">
        <v>79</v>
      </c>
      <c r="I855" t="s">
        <v>120</v>
      </c>
      <c r="J855" t="s">
        <v>22</v>
      </c>
      <c r="K855" t="s">
        <v>41</v>
      </c>
      <c r="L855" t="s">
        <v>59</v>
      </c>
      <c r="M855" t="s">
        <v>153</v>
      </c>
      <c r="N855" t="s">
        <v>100</v>
      </c>
    </row>
    <row r="856" spans="1:14" ht="12.75">
      <c r="A856" t="str">
        <f>HYPERLINK("http://www.onsemi.com/PowerSolutions/product.do?id=TIP32CG","TIP32CG")</f>
        <v>TIP32CG</v>
      </c>
      <c r="B856" t="str">
        <f t="shared" si="31"/>
        <v>TIP31A/D (99.0kB)</v>
      </c>
      <c r="C856" t="s">
        <v>19</v>
      </c>
      <c r="D856" t="s">
        <v>70</v>
      </c>
      <c r="E856" t="s">
        <v>276</v>
      </c>
      <c r="F856" t="s">
        <v>22</v>
      </c>
      <c r="G856" t="s">
        <v>23</v>
      </c>
      <c r="H856" t="s">
        <v>79</v>
      </c>
      <c r="I856" t="s">
        <v>120</v>
      </c>
      <c r="J856" t="s">
        <v>22</v>
      </c>
      <c r="K856" t="s">
        <v>41</v>
      </c>
      <c r="L856" t="s">
        <v>59</v>
      </c>
      <c r="M856" t="s">
        <v>153</v>
      </c>
      <c r="N856" t="s">
        <v>545</v>
      </c>
    </row>
    <row r="857" spans="1:14" ht="12.75">
      <c r="A857" t="str">
        <f>HYPERLINK("http://www.onsemi.com/PowerSolutions/product.do?id=TIP32G","TIP32G")</f>
        <v>TIP32G</v>
      </c>
      <c r="B857" t="str">
        <f t="shared" si="31"/>
        <v>TIP31A/D (99.0kB)</v>
      </c>
      <c r="C857" t="s">
        <v>19</v>
      </c>
      <c r="D857" t="s">
        <v>70</v>
      </c>
      <c r="E857" t="s">
        <v>105</v>
      </c>
      <c r="F857" t="s">
        <v>22</v>
      </c>
      <c r="G857" t="s">
        <v>41</v>
      </c>
      <c r="H857" t="s">
        <v>79</v>
      </c>
      <c r="I857" t="s">
        <v>120</v>
      </c>
      <c r="J857" t="s">
        <v>22</v>
      </c>
      <c r="K857" t="s">
        <v>41</v>
      </c>
      <c r="L857" t="s">
        <v>59</v>
      </c>
      <c r="M857" t="s">
        <v>153</v>
      </c>
      <c r="N857" t="s">
        <v>109</v>
      </c>
    </row>
    <row r="858" spans="1:14" ht="12.75">
      <c r="A858" t="str">
        <f>HYPERLINK("http://www.onsemi.com/PowerSolutions/product.do?id=TIP33C","TIP33C")</f>
        <v>TIP33C</v>
      </c>
      <c r="B858" t="str">
        <f>HYPERLINK("http://www.onsemi.com/pub/Collateral/TIP33C-D.PDF","TIP33C/D (51.0kB)")</f>
        <v>TIP33C/D (51.0kB)</v>
      </c>
      <c r="C858" t="s">
        <v>69</v>
      </c>
      <c r="D858" t="s">
        <v>70</v>
      </c>
      <c r="E858" t="s">
        <v>546</v>
      </c>
      <c r="F858" t="s">
        <v>79</v>
      </c>
      <c r="G858" t="s">
        <v>23</v>
      </c>
      <c r="H858" t="s">
        <v>32</v>
      </c>
      <c r="I858" t="s">
        <v>23</v>
      </c>
      <c r="J858" t="s">
        <v>22</v>
      </c>
      <c r="K858" t="s">
        <v>111</v>
      </c>
      <c r="L858" t="s">
        <v>50</v>
      </c>
      <c r="M858" t="s">
        <v>396</v>
      </c>
      <c r="N858" t="s">
        <v>78</v>
      </c>
    </row>
    <row r="859" spans="1:14" ht="12.75">
      <c r="A859" t="str">
        <f>HYPERLINK("http://www.onsemi.com/PowerSolutions/product.do?id=TIP33CG","TIP33CG")</f>
        <v>TIP33CG</v>
      </c>
      <c r="B859" t="str">
        <f>HYPERLINK("http://www.onsemi.com/pub/Collateral/TIP33C-D.PDF","TIP33C/D (51.0kB)")</f>
        <v>TIP33C/D (51.0kB)</v>
      </c>
      <c r="C859" t="s">
        <v>19</v>
      </c>
      <c r="D859" t="s">
        <v>70</v>
      </c>
      <c r="E859" t="s">
        <v>546</v>
      </c>
      <c r="F859" t="s">
        <v>79</v>
      </c>
      <c r="G859" t="s">
        <v>23</v>
      </c>
      <c r="H859" t="s">
        <v>32</v>
      </c>
      <c r="I859" t="s">
        <v>23</v>
      </c>
      <c r="J859" t="s">
        <v>22</v>
      </c>
      <c r="K859" t="s">
        <v>111</v>
      </c>
      <c r="L859" t="s">
        <v>50</v>
      </c>
      <c r="M859" t="s">
        <v>396</v>
      </c>
      <c r="N859" t="s">
        <v>418</v>
      </c>
    </row>
    <row r="860" spans="1:14" ht="12.75">
      <c r="A860" t="str">
        <f>HYPERLINK("http://www.onsemi.com/PowerSolutions/product.do?id=TIP35AG","TIP35AG")</f>
        <v>TIP35AG</v>
      </c>
      <c r="B860" t="str">
        <f aca="true" t="shared" si="32" ref="B860:B865">HYPERLINK("http://www.onsemi.com/pub/Collateral/TIP35A-D.PDF","TIP35A/D (80.0kB)")</f>
        <v>TIP35A/D (80.0kB)</v>
      </c>
      <c r="C860" t="s">
        <v>19</v>
      </c>
      <c r="D860" t="s">
        <v>70</v>
      </c>
      <c r="E860" t="s">
        <v>149</v>
      </c>
      <c r="F860" t="s">
        <v>102</v>
      </c>
      <c r="G860" t="s">
        <v>73</v>
      </c>
      <c r="H860" t="s">
        <v>72</v>
      </c>
      <c r="I860" t="s">
        <v>164</v>
      </c>
      <c r="J860" t="s">
        <v>22</v>
      </c>
      <c r="K860" t="s">
        <v>239</v>
      </c>
      <c r="L860" t="s">
        <v>50</v>
      </c>
      <c r="M860" t="s">
        <v>396</v>
      </c>
      <c r="N860" t="s">
        <v>547</v>
      </c>
    </row>
    <row r="861" spans="1:14" ht="12.75">
      <c r="A861" t="str">
        <f>HYPERLINK("http://www.onsemi.com/PowerSolutions/product.do?id=TIP35C","TIP35C")</f>
        <v>TIP35C</v>
      </c>
      <c r="B861" t="str">
        <f t="shared" si="32"/>
        <v>TIP35A/D (80.0kB)</v>
      </c>
      <c r="C861" t="s">
        <v>69</v>
      </c>
      <c r="D861" t="s">
        <v>70</v>
      </c>
      <c r="E861" t="s">
        <v>160</v>
      </c>
      <c r="F861" t="s">
        <v>102</v>
      </c>
      <c r="G861" t="s">
        <v>23</v>
      </c>
      <c r="H861" t="s">
        <v>72</v>
      </c>
      <c r="I861" t="s">
        <v>164</v>
      </c>
      <c r="J861" t="s">
        <v>22</v>
      </c>
      <c r="K861" t="s">
        <v>239</v>
      </c>
      <c r="L861" t="s">
        <v>50</v>
      </c>
      <c r="M861" t="s">
        <v>396</v>
      </c>
      <c r="N861" t="s">
        <v>547</v>
      </c>
    </row>
    <row r="862" spans="1:14" ht="12.75">
      <c r="A862" t="str">
        <f>HYPERLINK("http://www.onsemi.com/PowerSolutions/product.do?id=TIP35CG","TIP35CG")</f>
        <v>TIP35CG</v>
      </c>
      <c r="B862" t="str">
        <f t="shared" si="32"/>
        <v>TIP35A/D (80.0kB)</v>
      </c>
      <c r="C862" t="s">
        <v>19</v>
      </c>
      <c r="D862" t="s">
        <v>70</v>
      </c>
      <c r="E862" t="s">
        <v>160</v>
      </c>
      <c r="F862" t="s">
        <v>102</v>
      </c>
      <c r="G862" t="s">
        <v>23</v>
      </c>
      <c r="H862" t="s">
        <v>72</v>
      </c>
      <c r="I862" t="s">
        <v>164</v>
      </c>
      <c r="J862" t="s">
        <v>22</v>
      </c>
      <c r="K862" t="s">
        <v>239</v>
      </c>
      <c r="L862" t="s">
        <v>50</v>
      </c>
      <c r="M862" t="s">
        <v>396</v>
      </c>
      <c r="N862" t="s">
        <v>547</v>
      </c>
    </row>
    <row r="863" spans="1:14" ht="12.75">
      <c r="A863" t="str">
        <f>HYPERLINK("http://www.onsemi.com/PowerSolutions/product.do?id=TIP36AG","TIP36AG")</f>
        <v>TIP36AG</v>
      </c>
      <c r="B863" t="str">
        <f t="shared" si="32"/>
        <v>TIP35A/D (80.0kB)</v>
      </c>
      <c r="C863" t="s">
        <v>19</v>
      </c>
      <c r="D863" t="s">
        <v>70</v>
      </c>
      <c r="E863" t="s">
        <v>146</v>
      </c>
      <c r="F863" t="s">
        <v>102</v>
      </c>
      <c r="G863" t="s">
        <v>73</v>
      </c>
      <c r="H863" t="s">
        <v>72</v>
      </c>
      <c r="I863" t="s">
        <v>164</v>
      </c>
      <c r="J863" t="s">
        <v>22</v>
      </c>
      <c r="K863" t="s">
        <v>239</v>
      </c>
      <c r="L863" t="s">
        <v>59</v>
      </c>
      <c r="M863" t="s">
        <v>396</v>
      </c>
      <c r="N863" t="s">
        <v>548</v>
      </c>
    </row>
    <row r="864" spans="1:14" ht="12.75">
      <c r="A864" t="str">
        <f>HYPERLINK("http://www.onsemi.com/PowerSolutions/product.do?id=TIP36C","TIP36C")</f>
        <v>TIP36C</v>
      </c>
      <c r="B864" t="str">
        <f t="shared" si="32"/>
        <v>TIP35A/D (80.0kB)</v>
      </c>
      <c r="C864" t="s">
        <v>69</v>
      </c>
      <c r="D864" t="s">
        <v>70</v>
      </c>
      <c r="E864" t="s">
        <v>549</v>
      </c>
      <c r="F864" t="s">
        <v>102</v>
      </c>
      <c r="G864" t="s">
        <v>23</v>
      </c>
      <c r="H864" t="s">
        <v>72</v>
      </c>
      <c r="I864" t="s">
        <v>164</v>
      </c>
      <c r="J864" t="s">
        <v>22</v>
      </c>
      <c r="K864" t="s">
        <v>239</v>
      </c>
      <c r="L864" t="s">
        <v>59</v>
      </c>
      <c r="M864" t="s">
        <v>396</v>
      </c>
      <c r="N864" t="s">
        <v>548</v>
      </c>
    </row>
    <row r="865" spans="1:14" ht="12.75">
      <c r="A865" t="str">
        <f>HYPERLINK("http://www.onsemi.com/PowerSolutions/product.do?id=TIP36CG","TIP36CG")</f>
        <v>TIP36CG</v>
      </c>
      <c r="B865" t="str">
        <f t="shared" si="32"/>
        <v>TIP35A/D (80.0kB)</v>
      </c>
      <c r="C865" t="s">
        <v>19</v>
      </c>
      <c r="D865" t="s">
        <v>70</v>
      </c>
      <c r="E865" t="s">
        <v>549</v>
      </c>
      <c r="F865" t="s">
        <v>102</v>
      </c>
      <c r="G865" t="s">
        <v>23</v>
      </c>
      <c r="H865" t="s">
        <v>72</v>
      </c>
      <c r="I865" t="s">
        <v>164</v>
      </c>
      <c r="J865" t="s">
        <v>22</v>
      </c>
      <c r="K865" t="s">
        <v>239</v>
      </c>
      <c r="L865" t="s">
        <v>59</v>
      </c>
      <c r="M865" t="s">
        <v>396</v>
      </c>
      <c r="N865" t="s">
        <v>548</v>
      </c>
    </row>
    <row r="866" spans="1:14" ht="12.75">
      <c r="A866" t="str">
        <f>HYPERLINK("http://www.onsemi.com/PowerSolutions/product.do?id=TIP41AG","TIP41AG")</f>
        <v>TIP41AG</v>
      </c>
      <c r="B866" t="str">
        <f aca="true" t="shared" si="33" ref="B866:B874">HYPERLINK("http://www.onsemi.com/pub/Collateral/TIP41A-D.PDF","TIP41A/D (93.0kB)")</f>
        <v>TIP41A/D (93.0kB)</v>
      </c>
      <c r="C866" t="s">
        <v>19</v>
      </c>
      <c r="D866" t="s">
        <v>70</v>
      </c>
      <c r="E866" t="s">
        <v>550</v>
      </c>
      <c r="F866" t="s">
        <v>40</v>
      </c>
      <c r="G866" t="s">
        <v>73</v>
      </c>
      <c r="H866" t="s">
        <v>72</v>
      </c>
      <c r="I866" t="s">
        <v>164</v>
      </c>
      <c r="J866" t="s">
        <v>22</v>
      </c>
      <c r="K866" t="s">
        <v>200</v>
      </c>
      <c r="L866" t="s">
        <v>50</v>
      </c>
      <c r="M866" t="s">
        <v>153</v>
      </c>
      <c r="N866" t="s">
        <v>165</v>
      </c>
    </row>
    <row r="867" spans="1:14" ht="12.75">
      <c r="A867" t="str">
        <f>HYPERLINK("http://www.onsemi.com/PowerSolutions/product.do?id=TIP41BG","TIP41BG")</f>
        <v>TIP41BG</v>
      </c>
      <c r="B867" t="str">
        <f t="shared" si="33"/>
        <v>TIP41A/D (93.0kB)</v>
      </c>
      <c r="C867" t="s">
        <v>19</v>
      </c>
      <c r="D867" t="s">
        <v>70</v>
      </c>
      <c r="E867" t="s">
        <v>551</v>
      </c>
      <c r="F867" t="s">
        <v>40</v>
      </c>
      <c r="G867" t="s">
        <v>111</v>
      </c>
      <c r="H867" t="s">
        <v>72</v>
      </c>
      <c r="I867" t="s">
        <v>164</v>
      </c>
      <c r="J867" t="s">
        <v>22</v>
      </c>
      <c r="K867" t="s">
        <v>200</v>
      </c>
      <c r="L867" t="s">
        <v>50</v>
      </c>
      <c r="M867" t="s">
        <v>153</v>
      </c>
      <c r="N867" t="s">
        <v>165</v>
      </c>
    </row>
    <row r="868" spans="1:14" ht="12.75">
      <c r="A868" t="str">
        <f>HYPERLINK("http://www.onsemi.com/PowerSolutions/product.do?id=TIP41C","TIP41C")</f>
        <v>TIP41C</v>
      </c>
      <c r="B868" t="str">
        <f t="shared" si="33"/>
        <v>TIP41A/D (93.0kB)</v>
      </c>
      <c r="C868" t="s">
        <v>69</v>
      </c>
      <c r="D868" t="s">
        <v>70</v>
      </c>
      <c r="E868" t="s">
        <v>277</v>
      </c>
      <c r="F868" t="s">
        <v>40</v>
      </c>
      <c r="G868" t="s">
        <v>23</v>
      </c>
      <c r="H868" t="s">
        <v>72</v>
      </c>
      <c r="I868" t="s">
        <v>164</v>
      </c>
      <c r="J868" t="s">
        <v>22</v>
      </c>
      <c r="K868" t="s">
        <v>200</v>
      </c>
      <c r="L868" t="s">
        <v>50</v>
      </c>
      <c r="M868" t="s">
        <v>153</v>
      </c>
      <c r="N868" t="s">
        <v>165</v>
      </c>
    </row>
    <row r="869" spans="1:14" ht="12.75">
      <c r="A869" t="str">
        <f>HYPERLINK("http://www.onsemi.com/PowerSolutions/product.do?id=TIP41CG","TIP41CG")</f>
        <v>TIP41CG</v>
      </c>
      <c r="B869" t="str">
        <f t="shared" si="33"/>
        <v>TIP41A/D (93.0kB)</v>
      </c>
      <c r="C869" t="s">
        <v>19</v>
      </c>
      <c r="D869" t="s">
        <v>70</v>
      </c>
      <c r="E869" t="s">
        <v>277</v>
      </c>
      <c r="F869" t="s">
        <v>40</v>
      </c>
      <c r="G869" t="s">
        <v>23</v>
      </c>
      <c r="H869" t="s">
        <v>72</v>
      </c>
      <c r="I869" t="s">
        <v>164</v>
      </c>
      <c r="J869" t="s">
        <v>22</v>
      </c>
      <c r="K869" t="s">
        <v>200</v>
      </c>
      <c r="L869" t="s">
        <v>50</v>
      </c>
      <c r="M869" t="s">
        <v>153</v>
      </c>
      <c r="N869" t="s">
        <v>165</v>
      </c>
    </row>
    <row r="870" spans="1:14" ht="12.75">
      <c r="A870" t="str">
        <f>HYPERLINK("http://www.onsemi.com/PowerSolutions/product.do?id=TIP42AG","TIP42AG")</f>
        <v>TIP42AG</v>
      </c>
      <c r="B870" t="str">
        <f t="shared" si="33"/>
        <v>TIP41A/D (93.0kB)</v>
      </c>
      <c r="C870" t="s">
        <v>19</v>
      </c>
      <c r="D870" t="s">
        <v>70</v>
      </c>
      <c r="E870" t="s">
        <v>552</v>
      </c>
      <c r="F870" t="s">
        <v>40</v>
      </c>
      <c r="G870" t="s">
        <v>73</v>
      </c>
      <c r="H870" t="s">
        <v>72</v>
      </c>
      <c r="I870" t="s">
        <v>164</v>
      </c>
      <c r="J870" t="s">
        <v>22</v>
      </c>
      <c r="K870" t="s">
        <v>200</v>
      </c>
      <c r="L870" t="s">
        <v>59</v>
      </c>
      <c r="M870" t="s">
        <v>153</v>
      </c>
      <c r="N870" t="s">
        <v>100</v>
      </c>
    </row>
    <row r="871" spans="1:14" ht="12.75">
      <c r="A871" t="str">
        <f>HYPERLINK("http://www.onsemi.com/PowerSolutions/product.do?id=TIP42BG","TIP42BG")</f>
        <v>TIP42BG</v>
      </c>
      <c r="B871" t="str">
        <f t="shared" si="33"/>
        <v>TIP41A/D (93.0kB)</v>
      </c>
      <c r="C871" t="s">
        <v>19</v>
      </c>
      <c r="D871" t="s">
        <v>70</v>
      </c>
      <c r="E871" t="s">
        <v>279</v>
      </c>
      <c r="F871" t="s">
        <v>40</v>
      </c>
      <c r="G871" t="s">
        <v>111</v>
      </c>
      <c r="H871" t="s">
        <v>72</v>
      </c>
      <c r="I871" t="s">
        <v>164</v>
      </c>
      <c r="J871" t="s">
        <v>22</v>
      </c>
      <c r="K871" t="s">
        <v>200</v>
      </c>
      <c r="L871" t="s">
        <v>59</v>
      </c>
      <c r="M871" t="s">
        <v>153</v>
      </c>
      <c r="N871" t="s">
        <v>100</v>
      </c>
    </row>
    <row r="872" spans="1:14" ht="12.75">
      <c r="A872" t="str">
        <f>HYPERLINK("http://www.onsemi.com/PowerSolutions/product.do?id=TIP42C","TIP42C")</f>
        <v>TIP42C</v>
      </c>
      <c r="B872" t="str">
        <f t="shared" si="33"/>
        <v>TIP41A/D (93.0kB)</v>
      </c>
      <c r="C872" t="s">
        <v>69</v>
      </c>
      <c r="D872" t="s">
        <v>70</v>
      </c>
      <c r="E872" t="s">
        <v>280</v>
      </c>
      <c r="F872" t="s">
        <v>40</v>
      </c>
      <c r="G872" t="s">
        <v>23</v>
      </c>
      <c r="H872" t="s">
        <v>72</v>
      </c>
      <c r="I872" t="s">
        <v>164</v>
      </c>
      <c r="J872" t="s">
        <v>22</v>
      </c>
      <c r="K872" t="s">
        <v>200</v>
      </c>
      <c r="L872" t="s">
        <v>59</v>
      </c>
      <c r="M872" t="s">
        <v>153</v>
      </c>
      <c r="N872" t="s">
        <v>100</v>
      </c>
    </row>
    <row r="873" spans="1:14" ht="12.75">
      <c r="A873" t="str">
        <f>HYPERLINK("http://www.onsemi.com/PowerSolutions/product.do?id=TIP42CG","TIP42CG")</f>
        <v>TIP42CG</v>
      </c>
      <c r="B873" t="str">
        <f t="shared" si="33"/>
        <v>TIP41A/D (93.0kB)</v>
      </c>
      <c r="C873" t="s">
        <v>19</v>
      </c>
      <c r="D873" t="s">
        <v>70</v>
      </c>
      <c r="E873" t="s">
        <v>280</v>
      </c>
      <c r="F873" t="s">
        <v>40</v>
      </c>
      <c r="G873" t="s">
        <v>23</v>
      </c>
      <c r="H873" t="s">
        <v>72</v>
      </c>
      <c r="I873" t="s">
        <v>164</v>
      </c>
      <c r="J873" t="s">
        <v>22</v>
      </c>
      <c r="K873" t="s">
        <v>200</v>
      </c>
      <c r="L873" t="s">
        <v>59</v>
      </c>
      <c r="M873" t="s">
        <v>153</v>
      </c>
      <c r="N873" t="s">
        <v>0</v>
      </c>
    </row>
    <row r="874" spans="1:14" ht="12.75">
      <c r="A874" t="str">
        <f>HYPERLINK("http://www.onsemi.com/PowerSolutions/product.do?id=TIP42G","TIP42G")</f>
        <v>TIP42G</v>
      </c>
      <c r="B874" t="str">
        <f t="shared" si="33"/>
        <v>TIP41A/D (93.0kB)</v>
      </c>
      <c r="C874" t="s">
        <v>19</v>
      </c>
      <c r="D874" t="s">
        <v>70</v>
      </c>
      <c r="E874" t="s">
        <v>1</v>
      </c>
      <c r="F874" t="s">
        <v>40</v>
      </c>
      <c r="G874" t="s">
        <v>41</v>
      </c>
      <c r="H874" t="s">
        <v>72</v>
      </c>
      <c r="I874" t="s">
        <v>164</v>
      </c>
      <c r="J874" t="s">
        <v>22</v>
      </c>
      <c r="K874" t="s">
        <v>200</v>
      </c>
      <c r="L874" t="s">
        <v>59</v>
      </c>
      <c r="M874" t="s">
        <v>153</v>
      </c>
      <c r="N874" t="s">
        <v>100</v>
      </c>
    </row>
    <row r="875" spans="1:14" ht="12.75">
      <c r="A875" t="str">
        <f>HYPERLINK("http://www.onsemi.com/PowerSolutions/product.do?id=TIP47","TIP47")</f>
        <v>TIP47</v>
      </c>
      <c r="B875" t="str">
        <f>HYPERLINK("http://www.onsemi.com/pub/Collateral/TIP47-D.PDF","TIP47/D (78.0kB)")</f>
        <v>TIP47/D (78.0kB)</v>
      </c>
      <c r="C875" t="s">
        <v>69</v>
      </c>
      <c r="D875" t="s">
        <v>70</v>
      </c>
      <c r="E875" t="s">
        <v>139</v>
      </c>
      <c r="F875" t="s">
        <v>31</v>
      </c>
      <c r="G875" t="s">
        <v>58</v>
      </c>
      <c r="H875" t="s">
        <v>86</v>
      </c>
      <c r="I875" t="s">
        <v>88</v>
      </c>
      <c r="J875" t="s">
        <v>79</v>
      </c>
      <c r="K875" t="s">
        <v>41</v>
      </c>
      <c r="L875" t="s">
        <v>50</v>
      </c>
      <c r="M875" t="s">
        <v>153</v>
      </c>
      <c r="N875" t="s">
        <v>165</v>
      </c>
    </row>
    <row r="876" spans="1:14" ht="12.75">
      <c r="A876" t="str">
        <f>HYPERLINK("http://www.onsemi.com/PowerSolutions/product.do?id=TIP47G","TIP47G")</f>
        <v>TIP47G</v>
      </c>
      <c r="B876" t="str">
        <f>HYPERLINK("http://www.onsemi.com/pub/Collateral/TIP47-D.PDF","TIP47/D (78.0kB)")</f>
        <v>TIP47/D (78.0kB)</v>
      </c>
      <c r="C876" t="s">
        <v>19</v>
      </c>
      <c r="D876" t="s">
        <v>70</v>
      </c>
      <c r="E876" t="s">
        <v>139</v>
      </c>
      <c r="F876" t="s">
        <v>31</v>
      </c>
      <c r="G876" t="s">
        <v>58</v>
      </c>
      <c r="H876" t="s">
        <v>86</v>
      </c>
      <c r="I876" t="s">
        <v>88</v>
      </c>
      <c r="J876" t="s">
        <v>79</v>
      </c>
      <c r="K876" t="s">
        <v>41</v>
      </c>
      <c r="L876" t="s">
        <v>50</v>
      </c>
      <c r="M876" t="s">
        <v>153</v>
      </c>
      <c r="N876" t="s">
        <v>165</v>
      </c>
    </row>
    <row r="877" spans="1:14" ht="12.75">
      <c r="A877" t="str">
        <f>HYPERLINK("http://www.onsemi.com/PowerSolutions/product.do?id=TIP48G","TIP48G")</f>
        <v>TIP48G</v>
      </c>
      <c r="B877" t="str">
        <f>HYPERLINK("http://www.onsemi.com/pub/Collateral/TIP47-D.PDF","TIP47/D (78.0kB)")</f>
        <v>TIP47/D (78.0kB)</v>
      </c>
      <c r="C877" t="s">
        <v>19</v>
      </c>
      <c r="D877" t="s">
        <v>70</v>
      </c>
      <c r="E877" t="s">
        <v>2</v>
      </c>
      <c r="F877" t="s">
        <v>31</v>
      </c>
      <c r="G877" t="s">
        <v>48</v>
      </c>
      <c r="H877" t="s">
        <v>86</v>
      </c>
      <c r="I877" t="s">
        <v>88</v>
      </c>
      <c r="J877" t="s">
        <v>79</v>
      </c>
      <c r="K877" t="s">
        <v>41</v>
      </c>
      <c r="L877" t="s">
        <v>50</v>
      </c>
      <c r="M877" t="s">
        <v>153</v>
      </c>
      <c r="N877" t="s">
        <v>165</v>
      </c>
    </row>
    <row r="878" spans="1:14" ht="12.75">
      <c r="A878" t="str">
        <f>HYPERLINK("http://www.onsemi.com/PowerSolutions/product.do?id=TIP50","TIP50")</f>
        <v>TIP50</v>
      </c>
      <c r="B878" t="str">
        <f>HYPERLINK("http://www.onsemi.com/pub/Collateral/TIP47-D.PDF","TIP47/D (78.0kB)")</f>
        <v>TIP47/D (78.0kB)</v>
      </c>
      <c r="C878" t="s">
        <v>69</v>
      </c>
      <c r="D878" t="s">
        <v>70</v>
      </c>
      <c r="E878" t="s">
        <v>373</v>
      </c>
      <c r="F878" t="s">
        <v>31</v>
      </c>
      <c r="G878" t="s">
        <v>125</v>
      </c>
      <c r="H878" t="s">
        <v>86</v>
      </c>
      <c r="I878" t="s">
        <v>88</v>
      </c>
      <c r="J878" t="s">
        <v>79</v>
      </c>
      <c r="K878" t="s">
        <v>41</v>
      </c>
      <c r="L878" t="s">
        <v>50</v>
      </c>
      <c r="M878" t="s">
        <v>153</v>
      </c>
      <c r="N878" t="s">
        <v>100</v>
      </c>
    </row>
    <row r="879" spans="1:14" ht="12.75">
      <c r="A879" t="str">
        <f>HYPERLINK("http://www.onsemi.com/PowerSolutions/product.do?id=TIP50G","TIP50G")</f>
        <v>TIP50G</v>
      </c>
      <c r="B879" t="str">
        <f>HYPERLINK("http://www.onsemi.com/pub/Collateral/TIP47-D.PDF","TIP47/D (78.0kB)")</f>
        <v>TIP47/D (78.0kB)</v>
      </c>
      <c r="C879" t="s">
        <v>19</v>
      </c>
      <c r="D879" t="s">
        <v>70</v>
      </c>
      <c r="E879" t="s">
        <v>373</v>
      </c>
      <c r="F879" t="s">
        <v>31</v>
      </c>
      <c r="G879" t="s">
        <v>125</v>
      </c>
      <c r="H879" t="s">
        <v>86</v>
      </c>
      <c r="I879" t="s">
        <v>88</v>
      </c>
      <c r="J879" t="s">
        <v>79</v>
      </c>
      <c r="K879" t="s">
        <v>41</v>
      </c>
      <c r="L879" t="s">
        <v>50</v>
      </c>
      <c r="M879" t="s">
        <v>153</v>
      </c>
      <c r="N879" t="s">
        <v>3</v>
      </c>
    </row>
    <row r="880" spans="1:14" ht="12.75">
      <c r="A880" t="str">
        <f>HYPERLINK("http://www.onsemi.com/PowerSolutions/product.do?id=UMZ1NT1G","UMZ1NT1G")</f>
        <v>UMZ1NT1G</v>
      </c>
      <c r="B880" t="str">
        <f>HYPERLINK("http://www.onsemi.com/pub/Collateral/UMZ1NT1-D.PDF","UMZ1NT1/D (76.0kB)")</f>
        <v>UMZ1NT1/D (76.0kB)</v>
      </c>
      <c r="C880" t="s">
        <v>19</v>
      </c>
      <c r="D880" t="s">
        <v>70</v>
      </c>
      <c r="E880" t="s">
        <v>4</v>
      </c>
      <c r="F880" t="s">
        <v>47</v>
      </c>
      <c r="G880" t="s">
        <v>120</v>
      </c>
      <c r="H880" t="s">
        <v>33</v>
      </c>
      <c r="I880" t="s">
        <v>125</v>
      </c>
      <c r="K880" t="s">
        <v>214</v>
      </c>
      <c r="L880" t="s">
        <v>224</v>
      </c>
      <c r="M880" t="s">
        <v>220</v>
      </c>
      <c r="N880" t="s">
        <v>209</v>
      </c>
    </row>
  </sheetData>
  <hyperlinks>
    <hyperlink ref="A2:B880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安森美双极晶体管</dc:title>
  <dc:subject>ON 安森美双极晶体管</dc:subject>
  <dc:creator>BDTIC 半导体事业部</dc:creator>
  <cp:keywords>ON,安森美,双极晶体管</cp:keywords>
  <dc:description>http://www.BDTIC.com/ON</dc:description>
  <cp:lastModifiedBy>微软用户</cp:lastModifiedBy>
  <dcterms:modified xsi:type="dcterms:W3CDTF">2008-10-12T10:54:37Z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